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0355" windowHeight="8895"/>
  </bookViews>
  <sheets>
    <sheet name="Etiq y no etiq Diciembre" sheetId="1" r:id="rId1"/>
  </sheets>
  <definedNames>
    <definedName name="_xlnm.Print_Area" localSheetId="0">'Etiq y no etiq Diciembre'!$A$1:$H$165</definedName>
    <definedName name="_xlnm.Print_Titles" localSheetId="0">'Etiq y no etiq Diciembre'!$1:$8</definedName>
  </definedNames>
  <calcPr calcId="145621"/>
</workbook>
</file>

<file path=xl/calcChain.xml><?xml version="1.0" encoding="utf-8"?>
<calcChain xmlns="http://schemas.openxmlformats.org/spreadsheetml/2006/main">
  <c r="D132" i="1" l="1"/>
  <c r="D131" i="1"/>
  <c r="D130" i="1"/>
  <c r="G129" i="1"/>
  <c r="F129" i="1"/>
  <c r="H129" i="1" s="1"/>
  <c r="H128" i="1" s="1"/>
  <c r="D129" i="1"/>
  <c r="D128" i="1" s="1"/>
  <c r="G128" i="1"/>
  <c r="F128" i="1"/>
  <c r="E128" i="1"/>
  <c r="C128" i="1"/>
  <c r="H127" i="1"/>
  <c r="H119" i="1" s="1"/>
  <c r="G127" i="1"/>
  <c r="G119" i="1" s="1"/>
  <c r="G80" i="1" s="1"/>
  <c r="F127" i="1"/>
  <c r="F119" i="1"/>
  <c r="E119" i="1"/>
  <c r="D119" i="1"/>
  <c r="C119" i="1"/>
  <c r="H113" i="1"/>
  <c r="D113" i="1"/>
  <c r="H112" i="1"/>
  <c r="D112" i="1"/>
  <c r="H110" i="1"/>
  <c r="H109" i="1" s="1"/>
  <c r="D110" i="1"/>
  <c r="G109" i="1"/>
  <c r="F109" i="1"/>
  <c r="E109" i="1"/>
  <c r="D109" i="1"/>
  <c r="C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G102" i="1"/>
  <c r="F102" i="1"/>
  <c r="C102" i="1"/>
  <c r="C99" i="1" s="1"/>
  <c r="C80" i="1" s="1"/>
  <c r="H101" i="1"/>
  <c r="D101" i="1"/>
  <c r="H100" i="1"/>
  <c r="H99" i="1" s="1"/>
  <c r="D100" i="1"/>
  <c r="G99" i="1"/>
  <c r="F99" i="1"/>
  <c r="E99" i="1"/>
  <c r="H98" i="1"/>
  <c r="D98" i="1"/>
  <c r="H97" i="1"/>
  <c r="D97" i="1"/>
  <c r="H96" i="1"/>
  <c r="D96" i="1"/>
  <c r="H95" i="1"/>
  <c r="D95" i="1"/>
  <c r="H91" i="1"/>
  <c r="D91" i="1"/>
  <c r="G90" i="1"/>
  <c r="F90" i="1"/>
  <c r="H90" i="1" s="1"/>
  <c r="H89" i="1" s="1"/>
  <c r="D90" i="1"/>
  <c r="D89" i="1" s="1"/>
  <c r="G89" i="1"/>
  <c r="F89" i="1"/>
  <c r="E89" i="1"/>
  <c r="C89" i="1"/>
  <c r="H86" i="1"/>
  <c r="D86" i="1"/>
  <c r="H85" i="1"/>
  <c r="D85" i="1"/>
  <c r="H84" i="1"/>
  <c r="D84" i="1"/>
  <c r="H83" i="1"/>
  <c r="D83" i="1"/>
  <c r="H82" i="1"/>
  <c r="H81" i="1" s="1"/>
  <c r="D82" i="1"/>
  <c r="D81" i="1" s="1"/>
  <c r="G81" i="1"/>
  <c r="F81" i="1"/>
  <c r="F80" i="1" s="1"/>
  <c r="E81" i="1"/>
  <c r="E80" i="1" s="1"/>
  <c r="C81" i="1"/>
  <c r="E74" i="1"/>
  <c r="H74" i="1" s="1"/>
  <c r="C74" i="1"/>
  <c r="E73" i="1"/>
  <c r="H73" i="1" s="1"/>
  <c r="C73" i="1"/>
  <c r="C72" i="1" s="1"/>
  <c r="G72" i="1"/>
  <c r="F72" i="1"/>
  <c r="E72" i="1"/>
  <c r="H68" i="1"/>
  <c r="D68" i="1"/>
  <c r="H60" i="1"/>
  <c r="D60" i="1"/>
  <c r="H59" i="1"/>
  <c r="D59" i="1"/>
  <c r="H58" i="1"/>
  <c r="D58" i="1"/>
  <c r="G57" i="1"/>
  <c r="G56" i="1" s="1"/>
  <c r="F57" i="1"/>
  <c r="F56" i="1" s="1"/>
  <c r="E57" i="1"/>
  <c r="H57" i="1" s="1"/>
  <c r="H56" i="1" s="1"/>
  <c r="C57" i="1"/>
  <c r="C56" i="1" s="1"/>
  <c r="E56" i="1"/>
  <c r="G55" i="1"/>
  <c r="G48" i="1" s="1"/>
  <c r="F55" i="1"/>
  <c r="F48" i="1" s="1"/>
  <c r="E55" i="1"/>
  <c r="H55" i="1" s="1"/>
  <c r="H48" i="1" s="1"/>
  <c r="C55" i="1"/>
  <c r="C48" i="1" s="1"/>
  <c r="E48" i="1"/>
  <c r="G43" i="1"/>
  <c r="F43" i="1"/>
  <c r="E43" i="1"/>
  <c r="H43" i="1" s="1"/>
  <c r="C43" i="1"/>
  <c r="G42" i="1"/>
  <c r="F42" i="1"/>
  <c r="E42" i="1"/>
  <c r="H42" i="1" s="1"/>
  <c r="C42" i="1"/>
  <c r="G41" i="1"/>
  <c r="F41" i="1"/>
  <c r="E41" i="1"/>
  <c r="H41" i="1" s="1"/>
  <c r="C41" i="1"/>
  <c r="G39" i="1"/>
  <c r="F39" i="1"/>
  <c r="E39" i="1"/>
  <c r="H39" i="1" s="1"/>
  <c r="H38" i="1" s="1"/>
  <c r="C39" i="1"/>
  <c r="G38" i="1"/>
  <c r="F38" i="1"/>
  <c r="C38" i="1"/>
  <c r="G37" i="1"/>
  <c r="F37" i="1"/>
  <c r="E37" i="1"/>
  <c r="H37" i="1" s="1"/>
  <c r="C37" i="1"/>
  <c r="G36" i="1"/>
  <c r="F36" i="1"/>
  <c r="E36" i="1"/>
  <c r="H36" i="1" s="1"/>
  <c r="C36" i="1"/>
  <c r="G35" i="1"/>
  <c r="F35" i="1"/>
  <c r="E35" i="1"/>
  <c r="H35" i="1" s="1"/>
  <c r="C35" i="1"/>
  <c r="G34" i="1"/>
  <c r="F34" i="1"/>
  <c r="E34" i="1"/>
  <c r="H34" i="1" s="1"/>
  <c r="C34" i="1"/>
  <c r="G33" i="1"/>
  <c r="F33" i="1"/>
  <c r="E33" i="1"/>
  <c r="H33" i="1" s="1"/>
  <c r="C33" i="1"/>
  <c r="G32" i="1"/>
  <c r="F32" i="1"/>
  <c r="E32" i="1"/>
  <c r="H32" i="1" s="1"/>
  <c r="C32" i="1"/>
  <c r="G31" i="1"/>
  <c r="F31" i="1"/>
  <c r="E31" i="1"/>
  <c r="H31" i="1" s="1"/>
  <c r="C31" i="1"/>
  <c r="G30" i="1"/>
  <c r="F30" i="1"/>
  <c r="E30" i="1"/>
  <c r="H30" i="1" s="1"/>
  <c r="C30" i="1"/>
  <c r="G29" i="1"/>
  <c r="F29" i="1"/>
  <c r="E29" i="1"/>
  <c r="H29" i="1" s="1"/>
  <c r="H28" i="1" s="1"/>
  <c r="C29" i="1"/>
  <c r="G28" i="1"/>
  <c r="F28" i="1"/>
  <c r="C28" i="1"/>
  <c r="G27" i="1"/>
  <c r="F27" i="1"/>
  <c r="E27" i="1"/>
  <c r="H27" i="1" s="1"/>
  <c r="C27" i="1"/>
  <c r="G26" i="1"/>
  <c r="G18" i="1" s="1"/>
  <c r="F26" i="1"/>
  <c r="H26" i="1" s="1"/>
  <c r="D26" i="1"/>
  <c r="C26" i="1"/>
  <c r="H25" i="1"/>
  <c r="G25" i="1"/>
  <c r="F25" i="1"/>
  <c r="E25" i="1"/>
  <c r="D25" i="1"/>
  <c r="C25" i="1"/>
  <c r="G24" i="1"/>
  <c r="F24" i="1"/>
  <c r="H24" i="1" s="1"/>
  <c r="E24" i="1"/>
  <c r="D24" i="1"/>
  <c r="C24" i="1"/>
  <c r="H23" i="1"/>
  <c r="G23" i="1"/>
  <c r="F23" i="1"/>
  <c r="E23" i="1"/>
  <c r="D23" i="1"/>
  <c r="C23" i="1"/>
  <c r="G22" i="1"/>
  <c r="F22" i="1"/>
  <c r="H22" i="1" s="1"/>
  <c r="E22" i="1"/>
  <c r="D22" i="1"/>
  <c r="C22" i="1"/>
  <c r="H20" i="1"/>
  <c r="G20" i="1"/>
  <c r="F20" i="1"/>
  <c r="E20" i="1"/>
  <c r="D20" i="1"/>
  <c r="C20" i="1"/>
  <c r="G19" i="1"/>
  <c r="F19" i="1"/>
  <c r="H19" i="1" s="1"/>
  <c r="H18" i="1" s="1"/>
  <c r="E19" i="1"/>
  <c r="E18" i="1" s="1"/>
  <c r="D19" i="1"/>
  <c r="C19" i="1"/>
  <c r="C18" i="1"/>
  <c r="G15" i="1"/>
  <c r="F15" i="1"/>
  <c r="H15" i="1" s="1"/>
  <c r="E15" i="1"/>
  <c r="D15" i="1"/>
  <c r="C15" i="1"/>
  <c r="H14" i="1"/>
  <c r="G14" i="1"/>
  <c r="F14" i="1"/>
  <c r="E14" i="1"/>
  <c r="D14" i="1"/>
  <c r="D10" i="1" s="1"/>
  <c r="C14" i="1"/>
  <c r="G13" i="1"/>
  <c r="F13" i="1"/>
  <c r="H13" i="1" s="1"/>
  <c r="E13" i="1"/>
  <c r="D13" i="1"/>
  <c r="C13" i="1"/>
  <c r="H12" i="1"/>
  <c r="G12" i="1"/>
  <c r="F12" i="1"/>
  <c r="E12" i="1"/>
  <c r="D12" i="1"/>
  <c r="C12" i="1"/>
  <c r="G11" i="1"/>
  <c r="F11" i="1"/>
  <c r="H11" i="1" s="1"/>
  <c r="H10" i="1" s="1"/>
  <c r="E11" i="1"/>
  <c r="E10" i="1" s="1"/>
  <c r="D11" i="1"/>
  <c r="C11" i="1"/>
  <c r="G10" i="1"/>
  <c r="G9" i="1" s="1"/>
  <c r="G153" i="1" s="1"/>
  <c r="C10" i="1"/>
  <c r="H72" i="1" l="1"/>
  <c r="H9" i="1" s="1"/>
  <c r="H153" i="1" s="1"/>
  <c r="H80" i="1"/>
  <c r="C9" i="1"/>
  <c r="C153" i="1" s="1"/>
  <c r="D30" i="1"/>
  <c r="D32" i="1"/>
  <c r="D34" i="1"/>
  <c r="D36" i="1"/>
  <c r="D41" i="1"/>
  <c r="D43" i="1"/>
  <c r="D55" i="1"/>
  <c r="D48" i="1" s="1"/>
  <c r="D57" i="1"/>
  <c r="D56" i="1" s="1"/>
  <c r="D73" i="1"/>
  <c r="D74" i="1"/>
  <c r="D102" i="1"/>
  <c r="D99" i="1" s="1"/>
  <c r="D80" i="1" s="1"/>
  <c r="F10" i="1"/>
  <c r="F18" i="1"/>
  <c r="E28" i="1"/>
  <c r="E9" i="1" s="1"/>
  <c r="E153" i="1" s="1"/>
  <c r="E38" i="1"/>
  <c r="D27" i="1"/>
  <c r="D18" i="1" s="1"/>
  <c r="D29" i="1"/>
  <c r="D31" i="1"/>
  <c r="D33" i="1"/>
  <c r="D35" i="1"/>
  <c r="D37" i="1"/>
  <c r="D39" i="1"/>
  <c r="D42" i="1"/>
  <c r="D28" i="1" l="1"/>
  <c r="D9" i="1" s="1"/>
  <c r="D153" i="1" s="1"/>
  <c r="F9" i="1"/>
  <c r="F153" i="1" s="1"/>
  <c r="D38" i="1"/>
  <c r="D72" i="1"/>
</calcChain>
</file>

<file path=xl/sharedStrings.xml><?xml version="1.0" encoding="utf-8"?>
<sst xmlns="http://schemas.openxmlformats.org/spreadsheetml/2006/main" count="156" uniqueCount="85">
  <si>
    <t>Municipio de Durango</t>
  </si>
  <si>
    <t>Estado Analítico del Ejercicio del Presupuesto de Egresos</t>
  </si>
  <si>
    <t>Clasificación por Objeto del Gasto (Capítulo y Concepto)</t>
  </si>
  <si>
    <t>Del 1 de enero al 31 de diciembre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</si>
  <si>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</si>
  <si>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</si>
  <si>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</si>
  <si>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</si>
  <si>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</si>
  <si>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</si>
  <si>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</si>
  <si>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</si>
  <si>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 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</si>
  <si>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</si>
  <si>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</si>
  <si>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</si>
  <si>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</si>
  <si>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</si>
  <si>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</si>
  <si>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</si>
  <si>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</si>
  <si>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</si>
  <si>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</si>
  <si>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</si>
  <si>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</si>
  <si>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</si>
  <si>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</si>
  <si>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</si>
  <si>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</si>
  <si>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</si>
  <si>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</si>
  <si>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</si>
  <si>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</si>
  <si>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</si>
  <si>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</si>
  <si>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</si>
  <si>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</si>
  <si>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</si>
  <si>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</si>
  <si>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</si>
  <si>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</si>
  <si>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</si>
  <si>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</si>
  <si>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</si>
  <si>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</si>
  <si>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</si>
  <si>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</si>
  <si>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</si>
  <si>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</si>
  <si>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</si>
  <si>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</si>
  <si>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</si>
  <si>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</si>
  <si>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</si>
  <si>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</si>
  <si>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</si>
  <si>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</si>
  <si>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</si>
  <si>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</si>
  <si>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</si>
  <si>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</si>
  <si>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</si>
  <si>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</si>
  <si>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</si>
  <si>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</si>
  <si>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</si>
  <si>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Concesión de Prestamos</t>
  </si>
  <si>
    <t>Inversiones en Fideicomisos, Mandatos y Otros Analogos, Fideicomiso de Desastres Naturales 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</si>
  <si>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</si>
  <si>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</si>
  <si>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</si>
  <si>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</si>
  <si>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</si>
  <si>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</si>
  <si>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</si>
  <si>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</si>
  <si>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</si>
  <si>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</si>
  <si>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</si>
  <si>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</si>
  <si>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</si>
  <si>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 de Ejercicios Fiscales Anteriores (ADEFAS)</t>
  </si>
  <si>
    <t>II. GASTO ETIQUETADO</t>
  </si>
  <si>
    <t>Activos Biológicos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</si>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</sst>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43" fontId="4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5" fillId="2" borderId="3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7" xfId="1" applyNumberFormat="1" applyFont="1" applyBorder="1" applyAlignment="1">
      <alignment vertical="top"/>
    </xf>
    <xf numFmtId="164" fontId="6" fillId="0" borderId="3" xfId="1" applyNumberFormat="1" applyFont="1" applyBorder="1" applyAlignment="1">
      <alignment vertical="top"/>
    </xf>
    <xf numFmtId="164" fontId="6" fillId="0" borderId="2" xfId="1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6" fillId="0" borderId="8" xfId="1" applyNumberFormat="1" applyFont="1" applyBorder="1" applyAlignment="1">
      <alignment vertical="top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7" fillId="0" borderId="7" xfId="1" applyNumberFormat="1" applyFont="1" applyBorder="1" applyAlignment="1">
      <alignment vertical="top"/>
    </xf>
    <xf numFmtId="164" fontId="7" fillId="0" borderId="7" xfId="1" applyNumberFormat="1" applyFont="1" applyFill="1" applyBorder="1" applyAlignment="1">
      <alignment vertical="top"/>
    </xf>
    <xf numFmtId="164" fontId="7" fillId="0" borderId="8" xfId="1" applyNumberFormat="1" applyFont="1" applyFill="1" applyBorder="1" applyAlignment="1">
      <alignment vertical="top"/>
    </xf>
    <xf numFmtId="0" fontId="6" fillId="0" borderId="9" xfId="0" applyFont="1" applyBorder="1" applyAlignment="1">
      <alignment vertical="center"/>
    </xf>
    <xf numFmtId="164" fontId="0" fillId="0" borderId="8" xfId="0" applyNumberFormat="1" applyBorder="1" applyAlignment="1">
      <alignment vertical="top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6" fillId="0" borderId="7" xfId="1" applyNumberFormat="1" applyFont="1" applyFill="1" applyBorder="1" applyAlignment="1">
      <alignment vertical="top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1" fillId="0" borderId="0" xfId="1" applyNumberFormat="1" applyFont="1" applyAlignment="1">
      <alignment vertical="top"/>
    </xf>
    <xf numFmtId="164" fontId="0" fillId="0" borderId="7" xfId="0" applyNumberForma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vertical="top"/>
    </xf>
    <xf numFmtId="164" fontId="7" fillId="0" borderId="6" xfId="1" applyNumberFormat="1" applyFont="1" applyFill="1" applyBorder="1" applyAlignment="1">
      <alignment vertical="top"/>
    </xf>
    <xf numFmtId="0" fontId="6" fillId="0" borderId="10" xfId="0" applyFont="1" applyBorder="1" applyAlignment="1">
      <alignment vertical="center"/>
    </xf>
    <xf numFmtId="0" fontId="2" fillId="0" borderId="10" xfId="0" applyFont="1" applyBorder="1"/>
    <xf numFmtId="4" fontId="6" fillId="0" borderId="10" xfId="0" applyNumberFormat="1" applyFont="1" applyBorder="1" applyAlignment="1">
      <alignment vertical="center"/>
    </xf>
    <xf numFmtId="43" fontId="2" fillId="0" borderId="0" xfId="1" applyFont="1"/>
    <xf numFmtId="43" fontId="5" fillId="0" borderId="0" xfId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7" fillId="0" borderId="0" xfId="1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104775</xdr:rowOff>
    </xdr:from>
    <xdr:to>
      <xdr:col>7</xdr:col>
      <xdr:colOff>819150</xdr:colOff>
      <xdr:row>4</xdr:row>
      <xdr:rowOff>66675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104775"/>
          <a:ext cx="2228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4" name="5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0</xdr:row>
      <xdr:rowOff>85725</xdr:rowOff>
    </xdr:from>
    <xdr:to>
      <xdr:col>1</xdr:col>
      <xdr:colOff>914400</xdr:colOff>
      <xdr:row>5</xdr:row>
      <xdr:rowOff>47625</xdr:rowOff>
    </xdr:to>
    <xdr:pic>
      <xdr:nvPicPr>
        <xdr:cNvPr id="5" name="7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5725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0</xdr:rowOff>
    </xdr:from>
    <xdr:to>
      <xdr:col>1</xdr:col>
      <xdr:colOff>1990725</xdr:colOff>
      <xdr:row>5</xdr:row>
      <xdr:rowOff>47625</xdr:rowOff>
    </xdr:to>
    <xdr:pic>
      <xdr:nvPicPr>
        <xdr:cNvPr id="6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5811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157</xdr:row>
      <xdr:rowOff>139391</xdr:rowOff>
    </xdr:from>
    <xdr:to>
      <xdr:col>1</xdr:col>
      <xdr:colOff>3751921</xdr:colOff>
      <xdr:row>164</xdr:row>
      <xdr:rowOff>92926</xdr:rowOff>
    </xdr:to>
    <xdr:sp macro="" textlink="">
      <xdr:nvSpPr>
        <xdr:cNvPr id="7" name="6 Rectángulo"/>
        <xdr:cNvSpPr/>
      </xdr:nvSpPr>
      <xdr:spPr>
        <a:xfrm>
          <a:off x="190501" y="28866791"/>
          <a:ext cx="3751920" cy="1220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PRESIDENTE</a:t>
          </a:r>
          <a:r>
            <a:rPr lang="es-ES" sz="1100" b="1" baseline="0">
              <a:solidFill>
                <a:sysClr val="windowText" lastClr="000000"/>
              </a:solidFill>
            </a:rPr>
            <a:t>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DR. JOSE RAMÓN  ENRIQUEZ HERRERA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3867149</xdr:colOff>
      <xdr:row>157</xdr:row>
      <xdr:rowOff>161925</xdr:rowOff>
    </xdr:from>
    <xdr:to>
      <xdr:col>5</xdr:col>
      <xdr:colOff>197469</xdr:colOff>
      <xdr:row>164</xdr:row>
      <xdr:rowOff>69695</xdr:rowOff>
    </xdr:to>
    <xdr:sp macro="" textlink="">
      <xdr:nvSpPr>
        <xdr:cNvPr id="8" name="7 Rectángulo"/>
        <xdr:cNvSpPr/>
      </xdr:nvSpPr>
      <xdr:spPr>
        <a:xfrm flipH="1">
          <a:off x="4057649" y="28889325"/>
          <a:ext cx="3588370" cy="11745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DIRECTOR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8</xdr:col>
      <xdr:colOff>323849</xdr:colOff>
      <xdr:row>164</xdr:row>
      <xdr:rowOff>123825</xdr:rowOff>
    </xdr:to>
    <xdr:sp macro="" textlink="">
      <xdr:nvSpPr>
        <xdr:cNvPr id="9" name="8 Rectángulo"/>
        <xdr:cNvSpPr/>
      </xdr:nvSpPr>
      <xdr:spPr>
        <a:xfrm flipH="1">
          <a:off x="7448550" y="28908375"/>
          <a:ext cx="3638549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l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M.A.P. LUZ MARÍA GARIBAY AVITIA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1"/>
  <sheetViews>
    <sheetView tabSelected="1" zoomScale="96" zoomScaleNormal="96" workbookViewId="0">
      <selection activeCell="C31" sqref="C31"/>
    </sheetView>
  </sheetViews>
  <sheetFormatPr baseColWidth="10" defaultRowHeight="14.25" x14ac:dyDescent="0.2"/>
  <cols>
    <col min="1" max="1" width="2.85546875" style="1" customWidth="1"/>
    <col min="2" max="2" width="59.140625" style="1" customWidth="1"/>
    <col min="3" max="8" width="16.5703125" style="37" customWidth="1"/>
    <col min="9" max="9" width="26.28515625" style="1" customWidth="1"/>
    <col min="10" max="10" width="15.5703125" style="1" bestFit="1" customWidth="1"/>
    <col min="11" max="11" width="15" style="1" customWidth="1"/>
    <col min="12" max="16384" width="11.42578125" style="1"/>
  </cols>
  <sheetData>
    <row r="2" spans="1:13" ht="18" customHeight="1" x14ac:dyDescent="0.2">
      <c r="B2" s="41" t="s">
        <v>0</v>
      </c>
      <c r="C2" s="41"/>
      <c r="D2" s="41"/>
      <c r="E2" s="41"/>
      <c r="F2" s="41"/>
      <c r="G2" s="41"/>
      <c r="H2" s="41"/>
    </row>
    <row r="3" spans="1:13" ht="18" customHeight="1" x14ac:dyDescent="0.25">
      <c r="B3" s="41" t="s">
        <v>1</v>
      </c>
      <c r="C3" s="41"/>
      <c r="D3" s="41"/>
      <c r="E3" s="41"/>
      <c r="F3" s="41"/>
      <c r="G3" s="41"/>
      <c r="H3" s="41"/>
      <c r="I3" s="2"/>
    </row>
    <row r="4" spans="1:13" ht="18" customHeight="1" x14ac:dyDescent="0.2">
      <c r="B4" s="41" t="s">
        <v>2</v>
      </c>
      <c r="C4" s="41"/>
      <c r="D4" s="41"/>
      <c r="E4" s="41"/>
      <c r="F4" s="41"/>
      <c r="G4" s="41"/>
      <c r="H4" s="41"/>
    </row>
    <row r="5" spans="1:13" ht="15" x14ac:dyDescent="0.2">
      <c r="B5" s="41" t="s">
        <v>3</v>
      </c>
      <c r="C5" s="41"/>
      <c r="D5" s="41"/>
      <c r="E5" s="41"/>
      <c r="F5" s="41"/>
      <c r="G5" s="41"/>
      <c r="H5" s="41"/>
    </row>
    <row r="6" spans="1:13" ht="6" customHeight="1" x14ac:dyDescent="0.2">
      <c r="B6" s="3"/>
      <c r="C6" s="4"/>
      <c r="D6" s="4"/>
      <c r="E6" s="4"/>
      <c r="F6" s="4"/>
      <c r="G6" s="4"/>
      <c r="H6" s="4"/>
    </row>
    <row r="7" spans="1:13" ht="15" customHeight="1" x14ac:dyDescent="0.2">
      <c r="A7" s="42" t="s">
        <v>4</v>
      </c>
      <c r="B7" s="43"/>
      <c r="C7" s="46" t="s">
        <v>5</v>
      </c>
      <c r="D7" s="5" t="s">
        <v>6</v>
      </c>
      <c r="E7" s="46" t="s">
        <v>7</v>
      </c>
      <c r="F7" s="46" t="s">
        <v>8</v>
      </c>
      <c r="G7" s="46" t="s">
        <v>9</v>
      </c>
      <c r="H7" s="46" t="s">
        <v>10</v>
      </c>
    </row>
    <row r="8" spans="1:13" x14ac:dyDescent="0.2">
      <c r="A8" s="44"/>
      <c r="B8" s="45"/>
      <c r="C8" s="47"/>
      <c r="D8" s="6" t="s">
        <v>11</v>
      </c>
      <c r="E8" s="47"/>
      <c r="F8" s="47"/>
      <c r="G8" s="47"/>
      <c r="H8" s="47"/>
    </row>
    <row r="9" spans="1:13" s="12" customFormat="1" ht="14.25" customHeight="1" x14ac:dyDescent="0.2">
      <c r="A9" s="7" t="s">
        <v>12</v>
      </c>
      <c r="B9" s="8"/>
      <c r="C9" s="9">
        <f t="shared" ref="C9:H9" si="0">C10+C18+C28+C38+C48+C56+C72</f>
        <v>1574174585</v>
      </c>
      <c r="D9" s="9">
        <f t="shared" si="0"/>
        <v>104285467.71000002</v>
      </c>
      <c r="E9" s="9">
        <f t="shared" si="0"/>
        <v>1678460052.7099998</v>
      </c>
      <c r="F9" s="10">
        <f t="shared" si="0"/>
        <v>1850446909.1299999</v>
      </c>
      <c r="G9" s="11">
        <f t="shared" si="0"/>
        <v>1735805013.22</v>
      </c>
      <c r="H9" s="9">
        <f t="shared" si="0"/>
        <v>-171986856.42000002</v>
      </c>
      <c r="I9" s="1"/>
      <c r="J9" s="1"/>
      <c r="K9" s="1"/>
      <c r="L9" s="1"/>
      <c r="M9" s="1"/>
    </row>
    <row r="10" spans="1:13" s="12" customFormat="1" ht="14.25" customHeight="1" x14ac:dyDescent="0.2">
      <c r="A10" s="13" t="s">
        <v>13</v>
      </c>
      <c r="B10" s="14"/>
      <c r="C10" s="9">
        <f t="shared" ref="C10:H10" si="1">SUM(C11:C15)</f>
        <v>596163325.94999993</v>
      </c>
      <c r="D10" s="9">
        <f t="shared" si="1"/>
        <v>106780303.34</v>
      </c>
      <c r="E10" s="9">
        <f t="shared" si="1"/>
        <v>702943629.28999984</v>
      </c>
      <c r="F10" s="9">
        <f t="shared" si="1"/>
        <v>706861788.59000003</v>
      </c>
      <c r="G10" s="15">
        <f t="shared" si="1"/>
        <v>708731550.10000002</v>
      </c>
      <c r="H10" s="9">
        <f t="shared" si="1"/>
        <v>-3918159.3000000641</v>
      </c>
      <c r="I10" s="1"/>
      <c r="J10" s="1"/>
      <c r="K10" s="1"/>
      <c r="L10" s="1"/>
      <c r="M10" s="1"/>
    </row>
    <row r="11" spans="1:13" s="12" customFormat="1" ht="14.25" customHeight="1" x14ac:dyDescent="0.2">
      <c r="A11" s="16"/>
      <c r="B11" s="17" t="s">
        <v>14</v>
      </c>
      <c r="C11" s="18">
        <f>344451457.53-$C$82</f>
        <v>232962631.72999996</v>
      </c>
      <c r="D11" s="18">
        <f t="shared" ref="D11:D106" si="2">E11-C11</f>
        <v>67256255.810000002</v>
      </c>
      <c r="E11" s="19">
        <f>410762276.96-E82</f>
        <v>300218887.53999996</v>
      </c>
      <c r="F11" s="19">
        <f>384792381.24-F82</f>
        <v>273433957.21000004</v>
      </c>
      <c r="G11" s="20">
        <f>384784485.38-G82</f>
        <v>273426061.35000002</v>
      </c>
      <c r="H11" s="18">
        <f>E11-F11</f>
        <v>26784930.329999924</v>
      </c>
      <c r="I11" s="1"/>
      <c r="J11" s="1"/>
      <c r="K11" s="1"/>
      <c r="L11" s="1"/>
      <c r="M11" s="1"/>
    </row>
    <row r="12" spans="1:13" s="12" customFormat="1" ht="14.25" customHeight="1" x14ac:dyDescent="0.2">
      <c r="A12" s="16"/>
      <c r="B12" s="17" t="s">
        <v>15</v>
      </c>
      <c r="C12" s="18">
        <f>64520057.46-C83</f>
        <v>59319457.700000003</v>
      </c>
      <c r="D12" s="18">
        <f t="shared" si="2"/>
        <v>-195743.24000000209</v>
      </c>
      <c r="E12" s="19">
        <f>64520057.46-E83</f>
        <v>59123714.460000001</v>
      </c>
      <c r="F12" s="19">
        <f>100880071.55-F83</f>
        <v>95483728.549999997</v>
      </c>
      <c r="G12" s="20">
        <f>100864518.92-G83</f>
        <v>95468175.920000002</v>
      </c>
      <c r="H12" s="18">
        <f>E12-F12</f>
        <v>-36360014.089999996</v>
      </c>
      <c r="I12" s="1"/>
      <c r="J12" s="1"/>
      <c r="K12" s="1"/>
      <c r="L12" s="1"/>
      <c r="M12" s="1"/>
    </row>
    <row r="13" spans="1:13" s="12" customFormat="1" ht="14.25" customHeight="1" x14ac:dyDescent="0.2">
      <c r="A13" s="16"/>
      <c r="B13" s="17" t="s">
        <v>16</v>
      </c>
      <c r="C13" s="18">
        <f>186916053.37-C84</f>
        <v>147624554.63999999</v>
      </c>
      <c r="D13" s="18">
        <f t="shared" si="2"/>
        <v>33454769.230000019</v>
      </c>
      <c r="E13" s="19">
        <f>222361012.55-E84</f>
        <v>181079323.87</v>
      </c>
      <c r="F13" s="19">
        <f>215981905.62-F84</f>
        <v>174052660.72</v>
      </c>
      <c r="G13" s="20">
        <f>217875115.62-G84</f>
        <v>175945870.72</v>
      </c>
      <c r="H13" s="18">
        <f>E13-F13</f>
        <v>7026663.150000006</v>
      </c>
      <c r="I13" s="1"/>
      <c r="J13" s="1"/>
      <c r="K13" s="1"/>
      <c r="L13" s="1"/>
      <c r="M13" s="1"/>
    </row>
    <row r="14" spans="1:13" s="12" customFormat="1" ht="14.25" customHeight="1" x14ac:dyDescent="0.2">
      <c r="A14" s="16"/>
      <c r="B14" s="17" t="s">
        <v>17</v>
      </c>
      <c r="C14" s="18">
        <f>101431199.03-C85</f>
        <v>76460071.120000005</v>
      </c>
      <c r="D14" s="18">
        <f t="shared" si="2"/>
        <v>2165288.6599999964</v>
      </c>
      <c r="E14" s="19">
        <f>101431199.03-E85</f>
        <v>78625359.780000001</v>
      </c>
      <c r="F14" s="19">
        <f>99142240.27-F85</f>
        <v>76336401.019999996</v>
      </c>
      <c r="G14" s="20">
        <f>99142240.27-G85</f>
        <v>76336401.019999996</v>
      </c>
      <c r="H14" s="18">
        <f>E14-F14</f>
        <v>2288958.7600000054</v>
      </c>
      <c r="I14" s="1"/>
      <c r="J14" s="1"/>
      <c r="K14" s="1"/>
      <c r="L14" s="1"/>
      <c r="M14" s="1"/>
    </row>
    <row r="15" spans="1:13" s="12" customFormat="1" ht="14.25" customHeight="1" x14ac:dyDescent="0.2">
      <c r="A15" s="16"/>
      <c r="B15" s="17" t="s">
        <v>18</v>
      </c>
      <c r="C15" s="18">
        <f>123729850.06-C86</f>
        <v>79796610.760000005</v>
      </c>
      <c r="D15" s="18">
        <f t="shared" si="2"/>
        <v>4099732.8799999952</v>
      </c>
      <c r="E15" s="19">
        <f>128543002.56-E86</f>
        <v>83896343.640000001</v>
      </c>
      <c r="F15" s="19">
        <f>132201700.01-F86</f>
        <v>87555041.090000004</v>
      </c>
      <c r="G15" s="20">
        <f>132201700.01-G86</f>
        <v>87555041.090000004</v>
      </c>
      <c r="H15" s="18">
        <f>E15-F15</f>
        <v>-3658697.450000003</v>
      </c>
      <c r="I15" s="1"/>
      <c r="J15" s="1"/>
      <c r="K15" s="1"/>
      <c r="L15" s="1"/>
      <c r="M15" s="1"/>
    </row>
    <row r="16" spans="1:13" s="12" customFormat="1" ht="14.25" customHeight="1" x14ac:dyDescent="0.2">
      <c r="A16" s="16"/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"/>
      <c r="J16" s="1"/>
      <c r="K16" s="1"/>
      <c r="L16" s="1"/>
      <c r="M16" s="1"/>
    </row>
    <row r="17" spans="1:13" s="12" customFormat="1" ht="14.25" customHeight="1" x14ac:dyDescent="0.2">
      <c r="A17" s="16"/>
      <c r="B17" s="17" t="s">
        <v>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"/>
      <c r="J17" s="1"/>
      <c r="K17" s="1"/>
      <c r="L17" s="1"/>
      <c r="M17" s="1"/>
    </row>
    <row r="18" spans="1:13" s="12" customFormat="1" ht="14.25" customHeight="1" x14ac:dyDescent="0.2">
      <c r="A18" s="21" t="s">
        <v>21</v>
      </c>
      <c r="B18" s="17"/>
      <c r="C18" s="9">
        <f t="shared" ref="C18:H18" si="3">SUM(C19:C27)</f>
        <v>108778395.45999999</v>
      </c>
      <c r="D18" s="9">
        <f t="shared" si="3"/>
        <v>14533657.699999999</v>
      </c>
      <c r="E18" s="9">
        <f t="shared" si="3"/>
        <v>123312053.16</v>
      </c>
      <c r="F18" s="9">
        <f t="shared" si="3"/>
        <v>122821672.15000001</v>
      </c>
      <c r="G18" s="15">
        <f t="shared" si="3"/>
        <v>126518584.87</v>
      </c>
      <c r="H18" s="9">
        <f t="shared" si="3"/>
        <v>490381.00999999233</v>
      </c>
      <c r="I18" s="1"/>
      <c r="J18" s="1"/>
      <c r="K18" s="1"/>
      <c r="L18" s="1"/>
      <c r="M18" s="1"/>
    </row>
    <row r="19" spans="1:13" s="12" customFormat="1" ht="14.25" customHeight="1" x14ac:dyDescent="0.2">
      <c r="A19" s="16"/>
      <c r="B19" s="17" t="s">
        <v>22</v>
      </c>
      <c r="C19" s="18">
        <f>10707005.99-C90</f>
        <v>10608560.57</v>
      </c>
      <c r="D19" s="18">
        <f t="shared" si="2"/>
        <v>34376.810000000522</v>
      </c>
      <c r="E19" s="19">
        <f>10805451.41-E90</f>
        <v>10642937.380000001</v>
      </c>
      <c r="F19" s="19">
        <f>8626763.35-F90</f>
        <v>8548209.1799999997</v>
      </c>
      <c r="G19" s="20">
        <f>8502063.36-G90</f>
        <v>8423509.1899999995</v>
      </c>
      <c r="H19" s="18">
        <f t="shared" ref="H19:H27" si="4">E19-F19</f>
        <v>2094728.2000000011</v>
      </c>
      <c r="I19" s="1"/>
      <c r="J19" s="1"/>
      <c r="K19" s="1"/>
      <c r="L19" s="1"/>
      <c r="M19" s="1"/>
    </row>
    <row r="20" spans="1:13" s="12" customFormat="1" ht="14.25" customHeight="1" x14ac:dyDescent="0.2">
      <c r="A20" s="16"/>
      <c r="B20" s="17" t="s">
        <v>23</v>
      </c>
      <c r="C20" s="18">
        <f>15366440.46-C91</f>
        <v>15366440.460000001</v>
      </c>
      <c r="D20" s="18">
        <f t="shared" si="2"/>
        <v>-43561.589999999851</v>
      </c>
      <c r="E20" s="19">
        <f>15366440.46-E91</f>
        <v>15322878.870000001</v>
      </c>
      <c r="F20" s="19">
        <f>19094113.4-F91</f>
        <v>19057156.399999999</v>
      </c>
      <c r="G20" s="20">
        <f>17917563.45-G91</f>
        <v>17880606.449999999</v>
      </c>
      <c r="H20" s="18">
        <f t="shared" si="4"/>
        <v>-3734277.5299999975</v>
      </c>
      <c r="I20" s="1"/>
      <c r="J20" s="1"/>
      <c r="K20" s="1"/>
      <c r="L20" s="1"/>
      <c r="M20" s="1"/>
    </row>
    <row r="21" spans="1:13" s="12" customFormat="1" ht="14.25" customHeight="1" x14ac:dyDescent="0.2">
      <c r="A21" s="16"/>
      <c r="B21" s="17" t="s">
        <v>24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"/>
      <c r="J21" s="1"/>
      <c r="K21" s="1"/>
      <c r="L21" s="1"/>
      <c r="M21" s="1"/>
    </row>
    <row r="22" spans="1:13" s="12" customFormat="1" ht="14.25" customHeight="1" x14ac:dyDescent="0.2">
      <c r="A22" s="16"/>
      <c r="B22" s="17" t="s">
        <v>25</v>
      </c>
      <c r="C22" s="18">
        <f>33178481.29-C93</f>
        <v>33178481.289999999</v>
      </c>
      <c r="D22" s="18">
        <f t="shared" si="2"/>
        <v>11000000.119999997</v>
      </c>
      <c r="E22" s="19">
        <f>44178481.41-E93</f>
        <v>44178481.409999996</v>
      </c>
      <c r="F22" s="19">
        <f>26402436.5-F93</f>
        <v>26402436.5</v>
      </c>
      <c r="G22" s="20">
        <f>36172332.49-G93</f>
        <v>36172332.490000002</v>
      </c>
      <c r="H22" s="18">
        <f t="shared" si="4"/>
        <v>17776044.909999996</v>
      </c>
      <c r="I22" s="1"/>
      <c r="J22" s="1"/>
      <c r="K22" s="1"/>
      <c r="L22" s="1"/>
      <c r="M22" s="1"/>
    </row>
    <row r="23" spans="1:13" s="12" customFormat="1" ht="14.25" customHeight="1" x14ac:dyDescent="0.2">
      <c r="A23" s="16"/>
      <c r="B23" s="17" t="s">
        <v>26</v>
      </c>
      <c r="C23" s="18">
        <f>8821882.22-C94</f>
        <v>8821882.2200000007</v>
      </c>
      <c r="D23" s="18">
        <f t="shared" si="2"/>
        <v>0</v>
      </c>
      <c r="E23" s="19">
        <f>8821882.22-E94</f>
        <v>8821882.2200000007</v>
      </c>
      <c r="F23" s="19">
        <f>9263139.97-F94</f>
        <v>9263139.9700000007</v>
      </c>
      <c r="G23" s="22">
        <f>7867781.72-G94</f>
        <v>7867781.7199999997</v>
      </c>
      <c r="H23" s="18">
        <f t="shared" si="4"/>
        <v>-441257.75</v>
      </c>
      <c r="I23" s="1"/>
      <c r="J23" s="1"/>
      <c r="K23" s="1"/>
      <c r="L23" s="1"/>
      <c r="M23" s="1"/>
    </row>
    <row r="24" spans="1:13" s="12" customFormat="1" ht="14.25" customHeight="1" x14ac:dyDescent="0.2">
      <c r="A24" s="16"/>
      <c r="B24" s="17" t="s">
        <v>27</v>
      </c>
      <c r="C24" s="18">
        <f>56740856.08-C95</f>
        <v>32009814.5</v>
      </c>
      <c r="D24" s="18">
        <f t="shared" si="2"/>
        <v>813111.6799999997</v>
      </c>
      <c r="E24" s="19">
        <f>56740856.08-E95</f>
        <v>32822926.18</v>
      </c>
      <c r="F24" s="19">
        <f>71452043.78-F95</f>
        <v>48462204.290000007</v>
      </c>
      <c r="G24" s="20">
        <f>69279534.52-G95</f>
        <v>46289695.030000001</v>
      </c>
      <c r="H24" s="18">
        <f t="shared" si="4"/>
        <v>-15639278.110000007</v>
      </c>
      <c r="I24" s="1"/>
      <c r="J24" s="1"/>
      <c r="K24" s="1"/>
      <c r="L24" s="1"/>
      <c r="M24" s="1"/>
    </row>
    <row r="25" spans="1:13" s="12" customFormat="1" ht="14.25" customHeight="1" x14ac:dyDescent="0.2">
      <c r="A25" s="23"/>
      <c r="B25" s="24" t="s">
        <v>28</v>
      </c>
      <c r="C25" s="18">
        <f>9164738.47-C96</f>
        <v>3421738.4700000007</v>
      </c>
      <c r="D25" s="18">
        <f t="shared" si="2"/>
        <v>0</v>
      </c>
      <c r="E25" s="19">
        <f>9164738.47-E96</f>
        <v>3421738.4700000007</v>
      </c>
      <c r="F25" s="19">
        <f>12295442.38-F96</f>
        <v>6552709.2600000007</v>
      </c>
      <c r="G25" s="20">
        <f>11685730.76-G96</f>
        <v>5942997.6399999997</v>
      </c>
      <c r="H25" s="18">
        <f t="shared" si="4"/>
        <v>-3130970.79</v>
      </c>
      <c r="I25" s="1"/>
      <c r="J25" s="1"/>
      <c r="K25" s="1"/>
      <c r="L25" s="1"/>
      <c r="M25" s="1"/>
    </row>
    <row r="26" spans="1:13" s="12" customFormat="1" ht="14.25" customHeight="1" x14ac:dyDescent="0.2">
      <c r="A26" s="23"/>
      <c r="B26" s="24" t="s">
        <v>29</v>
      </c>
      <c r="C26" s="19">
        <f>10000-C97</f>
        <v>-459059.4</v>
      </c>
      <c r="D26" s="19">
        <f t="shared" si="2"/>
        <v>3338112.4</v>
      </c>
      <c r="E26" s="19">
        <v>2879053</v>
      </c>
      <c r="F26" s="19">
        <f>2869053-F97</f>
        <v>0</v>
      </c>
      <c r="G26" s="20">
        <f>2869053-G97</f>
        <v>0</v>
      </c>
      <c r="H26" s="18">
        <f t="shared" si="4"/>
        <v>2879053</v>
      </c>
      <c r="I26" s="1"/>
      <c r="J26" s="1"/>
      <c r="K26" s="1"/>
      <c r="L26" s="1"/>
      <c r="M26" s="1"/>
    </row>
    <row r="27" spans="1:13" s="12" customFormat="1" ht="14.25" customHeight="1" x14ac:dyDescent="0.2">
      <c r="A27" s="16"/>
      <c r="B27" s="17" t="s">
        <v>30</v>
      </c>
      <c r="C27" s="18">
        <f>8188566.76-C98</f>
        <v>5830537.3499999996</v>
      </c>
      <c r="D27" s="18">
        <f t="shared" si="2"/>
        <v>-608381.71999999974</v>
      </c>
      <c r="E27" s="19">
        <f>8188566.76-E98</f>
        <v>5222155.63</v>
      </c>
      <c r="F27" s="19">
        <f>7452624.65-F98</f>
        <v>4535816.5500000007</v>
      </c>
      <c r="G27" s="20">
        <f>6858470.45-G98</f>
        <v>3941662.35</v>
      </c>
      <c r="H27" s="18">
        <f t="shared" si="4"/>
        <v>686339.07999999914</v>
      </c>
      <c r="I27" s="1"/>
      <c r="J27" s="1"/>
      <c r="K27" s="1"/>
      <c r="L27" s="1"/>
      <c r="M27" s="1"/>
    </row>
    <row r="28" spans="1:13" s="12" customFormat="1" ht="14.25" customHeight="1" x14ac:dyDescent="0.2">
      <c r="A28" s="21" t="s">
        <v>31</v>
      </c>
      <c r="B28" s="25"/>
      <c r="C28" s="9">
        <f t="shared" ref="C28:H28" si="5">SUM(C29:C37)</f>
        <v>344939825.44000006</v>
      </c>
      <c r="D28" s="9">
        <f t="shared" si="5"/>
        <v>20025812.70999999</v>
      </c>
      <c r="E28" s="9">
        <f t="shared" si="5"/>
        <v>364965638.15000004</v>
      </c>
      <c r="F28" s="9">
        <f t="shared" si="5"/>
        <v>420141198.64999998</v>
      </c>
      <c r="G28" s="15">
        <f t="shared" si="5"/>
        <v>406752619.28000003</v>
      </c>
      <c r="H28" s="9">
        <f t="shared" si="5"/>
        <v>-55175560.5</v>
      </c>
      <c r="I28" s="1"/>
      <c r="J28" s="1"/>
      <c r="K28" s="1"/>
      <c r="L28" s="1"/>
      <c r="M28" s="1"/>
    </row>
    <row r="29" spans="1:13" s="12" customFormat="1" ht="14.25" customHeight="1" x14ac:dyDescent="0.2">
      <c r="A29" s="16"/>
      <c r="B29" s="17" t="s">
        <v>32</v>
      </c>
      <c r="C29" s="18">
        <f>122017336.56-C100</f>
        <v>122017336.56</v>
      </c>
      <c r="D29" s="18">
        <f t="shared" si="2"/>
        <v>-750</v>
      </c>
      <c r="E29" s="19">
        <f>122017336.56-E100</f>
        <v>122016586.56</v>
      </c>
      <c r="F29" s="19">
        <f>114894765.95-F100</f>
        <v>114894765.95</v>
      </c>
      <c r="G29" s="20">
        <f>114894765.95-G100</f>
        <v>114894765.95</v>
      </c>
      <c r="H29" s="18">
        <f t="shared" ref="H29:H37" si="6">E29-F29</f>
        <v>7121820.6099999994</v>
      </c>
      <c r="I29" s="1"/>
      <c r="J29" s="1"/>
      <c r="K29" s="1"/>
      <c r="L29" s="1"/>
      <c r="M29" s="1"/>
    </row>
    <row r="30" spans="1:13" s="12" customFormat="1" ht="14.25" customHeight="1" x14ac:dyDescent="0.2">
      <c r="A30" s="16"/>
      <c r="B30" s="17" t="s">
        <v>33</v>
      </c>
      <c r="C30" s="18">
        <f>96356872.76-C101</f>
        <v>26856872.760000005</v>
      </c>
      <c r="D30" s="18">
        <f t="shared" si="2"/>
        <v>64871075.399999991</v>
      </c>
      <c r="E30" s="19">
        <f>120356872.76-E101</f>
        <v>91727948.159999996</v>
      </c>
      <c r="F30" s="19">
        <f>113734629.89-F101</f>
        <v>85105775.289999992</v>
      </c>
      <c r="G30" s="20">
        <f>106594306.56-G101</f>
        <v>77965451.960000008</v>
      </c>
      <c r="H30" s="18">
        <f t="shared" si="6"/>
        <v>6622172.8700000048</v>
      </c>
      <c r="I30" s="1"/>
      <c r="J30" s="1"/>
      <c r="K30" s="1"/>
      <c r="L30" s="1"/>
      <c r="M30" s="1"/>
    </row>
    <row r="31" spans="1:13" s="12" customFormat="1" ht="14.25" customHeight="1" x14ac:dyDescent="0.2">
      <c r="A31" s="16"/>
      <c r="B31" s="17" t="s">
        <v>34</v>
      </c>
      <c r="C31" s="18">
        <f>77044204-C102</f>
        <v>59073547.399999999</v>
      </c>
      <c r="D31" s="18">
        <f t="shared" si="2"/>
        <v>-3335656.549999997</v>
      </c>
      <c r="E31" s="19">
        <f>78818912-E102</f>
        <v>55737890.850000001</v>
      </c>
      <c r="F31" s="19">
        <f>85696322.27-F102</f>
        <v>63778191.719999999</v>
      </c>
      <c r="G31" s="20">
        <f>84677061.32-G102</f>
        <v>62758930.769999996</v>
      </c>
      <c r="H31" s="18">
        <f t="shared" si="6"/>
        <v>-8040300.8699999973</v>
      </c>
      <c r="I31" s="1"/>
      <c r="J31" s="1"/>
      <c r="K31" s="1"/>
      <c r="L31" s="1"/>
      <c r="M31" s="1"/>
    </row>
    <row r="32" spans="1:13" s="12" customFormat="1" ht="14.25" customHeight="1" x14ac:dyDescent="0.2">
      <c r="A32" s="16"/>
      <c r="B32" s="17" t="s">
        <v>35</v>
      </c>
      <c r="C32" s="18">
        <f>13739922.61-C103</f>
        <v>7168243.5199999996</v>
      </c>
      <c r="D32" s="18">
        <f t="shared" si="2"/>
        <v>2390.769999999553</v>
      </c>
      <c r="E32" s="19">
        <f>13739922.61-E103</f>
        <v>7170634.2899999991</v>
      </c>
      <c r="F32" s="19">
        <f>24114538.23-F103</f>
        <v>17547908.23</v>
      </c>
      <c r="G32" s="20">
        <f>24113808.39-G103</f>
        <v>17547178.390000001</v>
      </c>
      <c r="H32" s="18">
        <f t="shared" si="6"/>
        <v>-10377273.940000001</v>
      </c>
      <c r="I32" s="1"/>
      <c r="J32" s="1"/>
      <c r="K32" s="1"/>
      <c r="L32" s="1"/>
      <c r="M32" s="1"/>
    </row>
    <row r="33" spans="1:13" s="12" customFormat="1" ht="14.25" customHeight="1" x14ac:dyDescent="0.2">
      <c r="A33" s="16"/>
      <c r="B33" s="17" t="s">
        <v>36</v>
      </c>
      <c r="C33" s="18">
        <f>113816403.79-C104</f>
        <v>43316403.790000007</v>
      </c>
      <c r="D33" s="18">
        <f t="shared" si="2"/>
        <v>-41442182.859999999</v>
      </c>
      <c r="E33" s="19">
        <f>113816403.79-E104</f>
        <v>1874220.9300000072</v>
      </c>
      <c r="F33" s="19">
        <f>161174466.15-F104</f>
        <v>49721463.820000008</v>
      </c>
      <c r="G33" s="20">
        <f>154726984.35-G104</f>
        <v>43273982.019999996</v>
      </c>
      <c r="H33" s="18">
        <f t="shared" si="6"/>
        <v>-47847242.890000001</v>
      </c>
      <c r="I33" s="1"/>
      <c r="J33" s="1"/>
      <c r="K33" s="1"/>
      <c r="L33" s="1"/>
      <c r="M33" s="1"/>
    </row>
    <row r="34" spans="1:13" s="12" customFormat="1" ht="14.25" customHeight="1" x14ac:dyDescent="0.2">
      <c r="A34" s="16"/>
      <c r="B34" s="17" t="s">
        <v>37</v>
      </c>
      <c r="C34" s="18">
        <f>31562400-C105</f>
        <v>31562400</v>
      </c>
      <c r="D34" s="18">
        <f t="shared" si="2"/>
        <v>-67864</v>
      </c>
      <c r="E34" s="19">
        <f>31562400-E105</f>
        <v>31494536</v>
      </c>
      <c r="F34" s="19">
        <f>30124238.4-F105</f>
        <v>30056374.399999999</v>
      </c>
      <c r="G34" s="20">
        <f>32297100.86-G105</f>
        <v>32229236.859999999</v>
      </c>
      <c r="H34" s="18">
        <f t="shared" si="6"/>
        <v>1438161.6000000015</v>
      </c>
      <c r="I34" s="1"/>
      <c r="J34" s="1"/>
      <c r="K34" s="1"/>
      <c r="L34" s="1"/>
      <c r="M34" s="1"/>
    </row>
    <row r="35" spans="1:13" s="12" customFormat="1" ht="14.25" customHeight="1" x14ac:dyDescent="0.2">
      <c r="A35" s="16"/>
      <c r="B35" s="17" t="s">
        <v>38</v>
      </c>
      <c r="C35" s="18">
        <f>8422500.76-C106</f>
        <v>8422500.7599999998</v>
      </c>
      <c r="D35" s="18">
        <f t="shared" si="2"/>
        <v>-1200</v>
      </c>
      <c r="E35" s="19">
        <f>8422500.76-E106</f>
        <v>8421300.7599999998</v>
      </c>
      <c r="F35" s="19">
        <f>4793662.98-F106</f>
        <v>4793662.9800000004</v>
      </c>
      <c r="G35" s="20">
        <f>4791023.36-G106</f>
        <v>4791023.3600000003</v>
      </c>
      <c r="H35" s="18">
        <f t="shared" si="6"/>
        <v>3627637.7799999993</v>
      </c>
      <c r="I35" s="1"/>
      <c r="J35" s="1"/>
      <c r="K35" s="1"/>
      <c r="L35" s="1"/>
      <c r="M35" s="1"/>
    </row>
    <row r="36" spans="1:13" s="12" customFormat="1" ht="14.25" customHeight="1" x14ac:dyDescent="0.2">
      <c r="A36" s="16"/>
      <c r="B36" s="17" t="s">
        <v>39</v>
      </c>
      <c r="C36" s="18">
        <f>26046684.99-C107</f>
        <v>26046684.989999998</v>
      </c>
      <c r="D36" s="18">
        <f t="shared" si="2"/>
        <v>0</v>
      </c>
      <c r="E36" s="19">
        <f>26046684.99-E107</f>
        <v>26046684.989999998</v>
      </c>
      <c r="F36" s="19">
        <f>27334705.19-F107</f>
        <v>27334705.190000001</v>
      </c>
      <c r="G36" s="20">
        <f>27234974.68-G107</f>
        <v>27234974.68</v>
      </c>
      <c r="H36" s="18">
        <f t="shared" si="6"/>
        <v>-1288020.200000003</v>
      </c>
      <c r="I36" s="1"/>
      <c r="J36" s="1"/>
      <c r="K36" s="1"/>
      <c r="L36" s="1"/>
      <c r="M36" s="1"/>
    </row>
    <row r="37" spans="1:13" s="12" customFormat="1" ht="14.25" customHeight="1" x14ac:dyDescent="0.2">
      <c r="A37" s="16"/>
      <c r="B37" s="17" t="s">
        <v>40</v>
      </c>
      <c r="C37" s="18">
        <f>20475835.66-C108</f>
        <v>20475835.66</v>
      </c>
      <c r="D37" s="18">
        <f t="shared" si="2"/>
        <v>-5.000000074505806E-2</v>
      </c>
      <c r="E37" s="19">
        <f>20475835.66-E108</f>
        <v>20475835.609999999</v>
      </c>
      <c r="F37" s="19">
        <f>26908351.07-F108</f>
        <v>26908351.07</v>
      </c>
      <c r="G37" s="20">
        <f>26057075.29-G108</f>
        <v>26057075.289999999</v>
      </c>
      <c r="H37" s="18">
        <f t="shared" si="6"/>
        <v>-6432515.4600000009</v>
      </c>
      <c r="I37" s="1"/>
      <c r="J37" s="1"/>
      <c r="K37" s="1"/>
      <c r="L37" s="1"/>
      <c r="M37" s="1"/>
    </row>
    <row r="38" spans="1:13" s="12" customFormat="1" ht="14.25" customHeight="1" x14ac:dyDescent="0.2">
      <c r="A38" s="21" t="s">
        <v>41</v>
      </c>
      <c r="B38" s="25"/>
      <c r="C38" s="9">
        <f t="shared" ref="C38:H38" si="7">SUM(C39:C43)</f>
        <v>316875339.86000001</v>
      </c>
      <c r="D38" s="9">
        <f t="shared" si="7"/>
        <v>-8598072.799999997</v>
      </c>
      <c r="E38" s="9">
        <f t="shared" si="7"/>
        <v>308277267.06</v>
      </c>
      <c r="F38" s="9">
        <f t="shared" si="7"/>
        <v>332490862.94000006</v>
      </c>
      <c r="G38" s="15">
        <f t="shared" si="7"/>
        <v>305865093.91999996</v>
      </c>
      <c r="H38" s="9">
        <f t="shared" si="7"/>
        <v>-24213595.87999998</v>
      </c>
      <c r="I38" s="1"/>
      <c r="J38" s="1"/>
      <c r="K38" s="1"/>
      <c r="L38" s="1"/>
      <c r="M38" s="1"/>
    </row>
    <row r="39" spans="1:13" s="12" customFormat="1" ht="14.25" customHeight="1" x14ac:dyDescent="0.2">
      <c r="A39" s="16"/>
      <c r="B39" s="17" t="s">
        <v>42</v>
      </c>
      <c r="C39" s="18">
        <f>87400000-C110</f>
        <v>87400000</v>
      </c>
      <c r="D39" s="18">
        <f t="shared" si="2"/>
        <v>0</v>
      </c>
      <c r="E39" s="19">
        <f>87400000-E110</f>
        <v>87400000</v>
      </c>
      <c r="F39" s="19">
        <f>92960302.48-F110</f>
        <v>92960302.480000004</v>
      </c>
      <c r="G39" s="20">
        <f>91800964.02-G110</f>
        <v>91800964.019999996</v>
      </c>
      <c r="H39" s="18">
        <f>E39-F39</f>
        <v>-5560302.4800000042</v>
      </c>
      <c r="I39" s="1"/>
      <c r="J39" s="1"/>
      <c r="K39" s="1"/>
      <c r="L39" s="1"/>
      <c r="M39" s="1"/>
    </row>
    <row r="40" spans="1:13" s="12" customFormat="1" ht="14.25" customHeight="1" x14ac:dyDescent="0.2">
      <c r="A40" s="16"/>
      <c r="B40" s="17" t="s">
        <v>43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"/>
      <c r="J40" s="1"/>
      <c r="K40" s="1"/>
      <c r="L40" s="1"/>
      <c r="M40" s="1"/>
    </row>
    <row r="41" spans="1:13" s="12" customFormat="1" ht="14.25" customHeight="1" x14ac:dyDescent="0.2">
      <c r="A41" s="16"/>
      <c r="B41" s="17" t="s">
        <v>44</v>
      </c>
      <c r="C41" s="18">
        <f>164615277.05-C112</f>
        <v>164615277.05000001</v>
      </c>
      <c r="D41" s="18">
        <f t="shared" si="2"/>
        <v>-7400000</v>
      </c>
      <c r="E41" s="19">
        <f>164615277.05-E112</f>
        <v>157215277.05000001</v>
      </c>
      <c r="F41" s="19">
        <f>184225121.82-F112</f>
        <v>184225121.81999999</v>
      </c>
      <c r="G41" s="20">
        <f>159199274.38-G112</f>
        <v>159199274.38</v>
      </c>
      <c r="H41" s="18">
        <f>E41-F41</f>
        <v>-27009844.769999981</v>
      </c>
      <c r="I41" s="1"/>
      <c r="J41" s="1"/>
      <c r="K41" s="1"/>
      <c r="L41" s="1"/>
      <c r="M41" s="1"/>
    </row>
    <row r="42" spans="1:13" s="12" customFormat="1" ht="14.25" customHeight="1" x14ac:dyDescent="0.2">
      <c r="A42" s="16"/>
      <c r="B42" s="17" t="s">
        <v>45</v>
      </c>
      <c r="C42" s="18">
        <f>63760062.81-C113</f>
        <v>63760062.810000002</v>
      </c>
      <c r="D42" s="18">
        <f t="shared" si="2"/>
        <v>-1198072.799999997</v>
      </c>
      <c r="E42" s="19">
        <f>63760062.81-E113</f>
        <v>62561990.010000005</v>
      </c>
      <c r="F42" s="19">
        <f>54177594.03-F113</f>
        <v>54177594.030000001</v>
      </c>
      <c r="G42" s="20">
        <f>53737010.91-G113</f>
        <v>53737010.909999996</v>
      </c>
      <c r="H42" s="18">
        <f>E42-F42</f>
        <v>8384395.9800000042</v>
      </c>
      <c r="I42" s="1"/>
      <c r="J42" s="1"/>
      <c r="K42" s="1"/>
      <c r="L42" s="1"/>
      <c r="M42" s="1"/>
    </row>
    <row r="43" spans="1:13" s="12" customFormat="1" ht="14.25" customHeight="1" x14ac:dyDescent="0.2">
      <c r="A43" s="16"/>
      <c r="B43" s="17" t="s">
        <v>46</v>
      </c>
      <c r="C43" s="18">
        <f>1100000-C114</f>
        <v>1100000</v>
      </c>
      <c r="D43" s="18">
        <f t="shared" si="2"/>
        <v>0</v>
      </c>
      <c r="E43" s="19">
        <f>1100000-E114</f>
        <v>1100000</v>
      </c>
      <c r="F43" s="19">
        <f>1127844.61-F114</f>
        <v>1127844.6100000001</v>
      </c>
      <c r="G43" s="20">
        <f>1127844.61-G114</f>
        <v>1127844.6100000001</v>
      </c>
      <c r="H43" s="18">
        <f>E43-F43</f>
        <v>-27844.610000000102</v>
      </c>
      <c r="I43" s="1"/>
      <c r="J43" s="1"/>
      <c r="K43" s="1"/>
      <c r="L43" s="1"/>
      <c r="M43" s="1"/>
    </row>
    <row r="44" spans="1:13" s="12" customFormat="1" ht="14.25" customHeight="1" x14ac:dyDescent="0.2">
      <c r="A44" s="16"/>
      <c r="B44" s="17" t="s">
        <v>47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"/>
      <c r="J44" s="1"/>
      <c r="K44" s="1"/>
      <c r="L44" s="1"/>
      <c r="M44" s="1"/>
    </row>
    <row r="45" spans="1:13" s="12" customFormat="1" ht="14.25" customHeight="1" x14ac:dyDescent="0.2">
      <c r="A45" s="16"/>
      <c r="B45" s="17" t="s">
        <v>48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"/>
      <c r="J45" s="1"/>
      <c r="K45" s="1"/>
      <c r="L45" s="1"/>
      <c r="M45" s="1"/>
    </row>
    <row r="46" spans="1:13" s="12" customFormat="1" ht="14.25" customHeight="1" x14ac:dyDescent="0.2">
      <c r="A46" s="16"/>
      <c r="B46" s="17" t="s">
        <v>49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"/>
      <c r="J46" s="1"/>
      <c r="K46" s="1"/>
      <c r="L46" s="1"/>
      <c r="M46" s="1"/>
    </row>
    <row r="47" spans="1:13" s="12" customFormat="1" ht="14.25" customHeight="1" x14ac:dyDescent="0.2">
      <c r="A47" s="16"/>
      <c r="B47" s="17" t="s">
        <v>50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"/>
      <c r="J47" s="1"/>
      <c r="K47" s="1"/>
      <c r="L47" s="1"/>
      <c r="M47" s="1"/>
    </row>
    <row r="48" spans="1:13" s="12" customFormat="1" ht="14.25" customHeight="1" x14ac:dyDescent="0.2">
      <c r="A48" s="21" t="s">
        <v>51</v>
      </c>
      <c r="B48" s="25"/>
      <c r="C48" s="9">
        <f t="shared" ref="C48:H48" si="8">SUM(C55)</f>
        <v>39898548.689999998</v>
      </c>
      <c r="D48" s="9">
        <f t="shared" si="8"/>
        <v>-2757772.2800000012</v>
      </c>
      <c r="E48" s="9">
        <f t="shared" si="8"/>
        <v>37140776.409999996</v>
      </c>
      <c r="F48" s="9">
        <f t="shared" si="8"/>
        <v>25587352.02</v>
      </c>
      <c r="G48" s="15">
        <f t="shared" si="8"/>
        <v>39878994.299999997</v>
      </c>
      <c r="H48" s="9">
        <f t="shared" si="8"/>
        <v>11553424.389999997</v>
      </c>
      <c r="I48" s="1"/>
      <c r="J48" s="1"/>
      <c r="K48" s="1"/>
      <c r="L48" s="1"/>
      <c r="M48" s="1"/>
    </row>
    <row r="49" spans="1:13" s="12" customFormat="1" ht="14.25" customHeight="1" x14ac:dyDescent="0.2">
      <c r="A49" s="21"/>
      <c r="B49" s="17" t="s">
        <v>52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"/>
      <c r="J49" s="1"/>
      <c r="K49" s="1"/>
      <c r="L49" s="1"/>
      <c r="M49" s="1"/>
    </row>
    <row r="50" spans="1:13" s="12" customFormat="1" ht="14.25" customHeight="1" x14ac:dyDescent="0.2">
      <c r="A50" s="21"/>
      <c r="B50" s="17" t="s">
        <v>53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"/>
      <c r="J50" s="1"/>
      <c r="K50" s="1"/>
      <c r="L50" s="1"/>
      <c r="M50" s="1"/>
    </row>
    <row r="51" spans="1:13" s="12" customFormat="1" ht="14.25" customHeight="1" x14ac:dyDescent="0.2">
      <c r="A51" s="21"/>
      <c r="B51" s="17" t="s">
        <v>54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"/>
      <c r="J51" s="1"/>
      <c r="K51" s="1"/>
      <c r="L51" s="1"/>
      <c r="M51" s="1"/>
    </row>
    <row r="52" spans="1:13" s="12" customFormat="1" ht="14.25" customHeight="1" x14ac:dyDescent="0.2">
      <c r="A52" s="21"/>
      <c r="B52" s="17" t="s">
        <v>55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"/>
      <c r="J52" s="1"/>
      <c r="K52" s="1"/>
      <c r="L52" s="1"/>
      <c r="M52" s="1"/>
    </row>
    <row r="53" spans="1:13" s="12" customFormat="1" ht="14.25" customHeight="1" x14ac:dyDescent="0.2">
      <c r="A53" s="21"/>
      <c r="B53" s="17" t="s">
        <v>56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"/>
      <c r="J53" s="1"/>
      <c r="K53" s="1"/>
      <c r="L53" s="1"/>
      <c r="M53" s="1"/>
    </row>
    <row r="54" spans="1:13" s="12" customFormat="1" ht="14.25" customHeight="1" x14ac:dyDescent="0.2">
      <c r="A54" s="21"/>
      <c r="B54" s="17" t="s">
        <v>57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"/>
      <c r="J54" s="1"/>
      <c r="K54" s="1"/>
      <c r="L54" s="1"/>
      <c r="M54" s="1"/>
    </row>
    <row r="55" spans="1:13" s="12" customFormat="1" ht="14.25" customHeight="1" x14ac:dyDescent="0.2">
      <c r="A55" s="16"/>
      <c r="B55" s="17" t="s">
        <v>51</v>
      </c>
      <c r="C55" s="18">
        <f>39898548.69-C127</f>
        <v>39898548.689999998</v>
      </c>
      <c r="D55" s="18">
        <f t="shared" si="2"/>
        <v>-2757772.2800000012</v>
      </c>
      <c r="E55" s="19">
        <f>39898548.69-E127</f>
        <v>37140776.409999996</v>
      </c>
      <c r="F55" s="19">
        <f>28317715.02-F127</f>
        <v>25587352.02</v>
      </c>
      <c r="G55" s="20">
        <f>42609357.3-G127</f>
        <v>39878994.299999997</v>
      </c>
      <c r="H55" s="18">
        <f>E55-F55</f>
        <v>11553424.389999997</v>
      </c>
      <c r="I55" s="1"/>
      <c r="J55" s="1"/>
      <c r="K55" s="1"/>
      <c r="L55" s="1"/>
      <c r="M55" s="1"/>
    </row>
    <row r="56" spans="1:13" s="12" customFormat="1" ht="14.25" customHeight="1" x14ac:dyDescent="0.2">
      <c r="A56" s="21" t="s">
        <v>58</v>
      </c>
      <c r="B56" s="17"/>
      <c r="C56" s="9">
        <f t="shared" ref="C56:H56" si="9">SUM(C57:C59)</f>
        <v>52507369.780000001</v>
      </c>
      <c r="D56" s="9">
        <f t="shared" si="9"/>
        <v>-25698460.959999979</v>
      </c>
      <c r="E56" s="9">
        <f t="shared" si="9"/>
        <v>26808908.820000023</v>
      </c>
      <c r="F56" s="9">
        <f t="shared" si="9"/>
        <v>175407670.18000004</v>
      </c>
      <c r="G56" s="15">
        <f t="shared" si="9"/>
        <v>80921806.150000036</v>
      </c>
      <c r="H56" s="9">
        <f t="shared" si="9"/>
        <v>-148598761.36000001</v>
      </c>
      <c r="I56" s="1"/>
      <c r="J56" s="1"/>
      <c r="K56" s="1"/>
      <c r="L56" s="1"/>
      <c r="M56" s="1"/>
    </row>
    <row r="57" spans="1:13" s="12" customFormat="1" ht="14.25" customHeight="1" x14ac:dyDescent="0.2">
      <c r="A57" s="16"/>
      <c r="B57" s="17" t="s">
        <v>59</v>
      </c>
      <c r="C57" s="18">
        <f>132461581.78-C128</f>
        <v>52507369.780000001</v>
      </c>
      <c r="D57" s="18">
        <f>E57-C57</f>
        <v>-25698460.959999979</v>
      </c>
      <c r="E57" s="19">
        <f>188439516.78-E129</f>
        <v>26808908.820000023</v>
      </c>
      <c r="F57" s="19">
        <f>337617851.74-F129</f>
        <v>175407670.18000004</v>
      </c>
      <c r="G57" s="20">
        <f>243131987.71-G129</f>
        <v>80921806.150000036</v>
      </c>
      <c r="H57" s="18">
        <f>E57-F57</f>
        <v>-148598761.36000001</v>
      </c>
      <c r="I57" s="1"/>
      <c r="J57" s="1"/>
      <c r="K57" s="1"/>
      <c r="L57" s="1"/>
      <c r="M57" s="1"/>
    </row>
    <row r="58" spans="1:13" s="12" customFormat="1" ht="14.25" customHeight="1" x14ac:dyDescent="0.2">
      <c r="A58" s="16"/>
      <c r="B58" s="17" t="s">
        <v>60</v>
      </c>
      <c r="C58" s="18">
        <v>0</v>
      </c>
      <c r="D58" s="18">
        <f t="shared" si="2"/>
        <v>0</v>
      </c>
      <c r="E58" s="19">
        <v>0</v>
      </c>
      <c r="F58" s="19">
        <v>0</v>
      </c>
      <c r="G58" s="19">
        <v>0</v>
      </c>
      <c r="H58" s="18">
        <f>E58-F58</f>
        <v>0</v>
      </c>
      <c r="I58" s="1"/>
      <c r="J58" s="1"/>
      <c r="K58" s="1"/>
      <c r="L58" s="1"/>
      <c r="M58" s="1"/>
    </row>
    <row r="59" spans="1:13" s="12" customFormat="1" ht="14.25" customHeight="1" x14ac:dyDescent="0.2">
      <c r="A59" s="16"/>
      <c r="B59" s="17" t="s">
        <v>61</v>
      </c>
      <c r="C59" s="18">
        <v>0</v>
      </c>
      <c r="D59" s="18">
        <f t="shared" si="2"/>
        <v>0</v>
      </c>
      <c r="E59" s="19">
        <v>0</v>
      </c>
      <c r="F59" s="19">
        <v>0</v>
      </c>
      <c r="G59" s="19">
        <v>0</v>
      </c>
      <c r="H59" s="18">
        <f>E59-F59</f>
        <v>0</v>
      </c>
      <c r="I59" s="1"/>
      <c r="J59" s="1"/>
      <c r="K59" s="1"/>
      <c r="L59" s="1"/>
      <c r="M59" s="1"/>
    </row>
    <row r="60" spans="1:13" s="12" customFormat="1" ht="14.25" customHeight="1" x14ac:dyDescent="0.2">
      <c r="A60" s="21" t="s">
        <v>62</v>
      </c>
      <c r="B60" s="17"/>
      <c r="C60" s="9">
        <v>0</v>
      </c>
      <c r="D60" s="9">
        <f t="shared" si="2"/>
        <v>0</v>
      </c>
      <c r="E60" s="26">
        <v>0</v>
      </c>
      <c r="F60" s="26">
        <v>0</v>
      </c>
      <c r="G60" s="26">
        <v>0</v>
      </c>
      <c r="H60" s="9">
        <f>E60-F60</f>
        <v>0</v>
      </c>
      <c r="I60" s="1"/>
      <c r="J60" s="1"/>
      <c r="K60" s="1"/>
      <c r="L60" s="1"/>
      <c r="M60" s="1"/>
    </row>
    <row r="61" spans="1:13" s="12" customFormat="1" ht="14.25" customHeight="1" x14ac:dyDescent="0.2">
      <c r="A61" s="21"/>
      <c r="B61" s="17" t="s">
        <v>63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"/>
      <c r="J61" s="1"/>
      <c r="K61" s="1"/>
      <c r="L61" s="1"/>
      <c r="M61" s="1"/>
    </row>
    <row r="62" spans="1:13" s="12" customFormat="1" ht="14.25" customHeight="1" x14ac:dyDescent="0.2">
      <c r="A62" s="21"/>
      <c r="B62" s="17" t="s">
        <v>64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"/>
      <c r="J62" s="1"/>
      <c r="K62" s="1"/>
      <c r="L62" s="1"/>
      <c r="M62" s="1"/>
    </row>
    <row r="63" spans="1:13" s="12" customFormat="1" ht="14.25" customHeight="1" x14ac:dyDescent="0.2">
      <c r="A63" s="21"/>
      <c r="B63" s="17" t="s">
        <v>65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"/>
      <c r="J63" s="1"/>
      <c r="K63" s="1"/>
      <c r="L63" s="1"/>
      <c r="M63" s="1"/>
    </row>
    <row r="64" spans="1:13" s="12" customFormat="1" ht="14.25" customHeight="1" x14ac:dyDescent="0.2">
      <c r="A64" s="21"/>
      <c r="B64" s="17" t="s">
        <v>66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"/>
      <c r="J64" s="1"/>
      <c r="K64" s="1"/>
      <c r="L64" s="1"/>
      <c r="M64" s="1"/>
    </row>
    <row r="65" spans="1:13" s="12" customFormat="1" ht="14.25" customHeight="1" x14ac:dyDescent="0.2">
      <c r="A65" s="21"/>
      <c r="B65" s="17" t="s">
        <v>67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"/>
      <c r="J65" s="1"/>
      <c r="K65" s="1"/>
      <c r="L65" s="1"/>
      <c r="M65" s="1"/>
    </row>
    <row r="66" spans="1:13" s="12" customFormat="1" ht="14.25" customHeight="1" x14ac:dyDescent="0.2">
      <c r="A66" s="21"/>
      <c r="B66" s="17" t="s">
        <v>68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"/>
      <c r="J66" s="1"/>
      <c r="K66" s="1"/>
      <c r="L66" s="1"/>
      <c r="M66" s="1"/>
    </row>
    <row r="67" spans="1:13" s="12" customFormat="1" ht="14.25" customHeight="1" x14ac:dyDescent="0.2">
      <c r="A67" s="21"/>
      <c r="B67" s="17" t="s">
        <v>69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"/>
      <c r="J67" s="1"/>
      <c r="K67" s="1"/>
      <c r="L67" s="1"/>
      <c r="M67" s="1"/>
    </row>
    <row r="68" spans="1:13" s="12" customFormat="1" ht="14.25" customHeight="1" x14ac:dyDescent="0.2">
      <c r="A68" s="21" t="s">
        <v>70</v>
      </c>
      <c r="B68" s="27"/>
      <c r="C68" s="9">
        <v>0</v>
      </c>
      <c r="D68" s="9">
        <f t="shared" si="2"/>
        <v>0</v>
      </c>
      <c r="E68" s="26">
        <v>0</v>
      </c>
      <c r="F68" s="26">
        <v>0</v>
      </c>
      <c r="G68" s="26">
        <v>0</v>
      </c>
      <c r="H68" s="9">
        <f>E68-F68</f>
        <v>0</v>
      </c>
      <c r="I68" s="1"/>
      <c r="J68" s="1"/>
      <c r="K68" s="1"/>
      <c r="L68" s="1"/>
      <c r="M68" s="1"/>
    </row>
    <row r="69" spans="1:13" s="12" customFormat="1" ht="14.25" customHeight="1" x14ac:dyDescent="0.2">
      <c r="A69" s="21"/>
      <c r="B69" s="17" t="s">
        <v>71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"/>
      <c r="J69" s="1"/>
      <c r="K69" s="1"/>
      <c r="L69" s="1"/>
      <c r="M69" s="1"/>
    </row>
    <row r="70" spans="1:13" s="12" customFormat="1" ht="14.25" customHeight="1" x14ac:dyDescent="0.2">
      <c r="A70" s="21"/>
      <c r="B70" s="17" t="s">
        <v>72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"/>
      <c r="J70" s="1"/>
      <c r="K70" s="1"/>
      <c r="L70" s="1"/>
      <c r="M70" s="1"/>
    </row>
    <row r="71" spans="1:13" s="12" customFormat="1" ht="14.25" customHeight="1" x14ac:dyDescent="0.2">
      <c r="A71" s="21"/>
      <c r="B71" s="17" t="s">
        <v>73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"/>
      <c r="J71" s="1"/>
      <c r="K71" s="1"/>
      <c r="L71" s="1"/>
      <c r="M71" s="1"/>
    </row>
    <row r="72" spans="1:13" ht="15" customHeight="1" x14ac:dyDescent="0.2">
      <c r="A72" s="21" t="s">
        <v>74</v>
      </c>
      <c r="B72" s="17"/>
      <c r="C72" s="9">
        <f t="shared" ref="C72:H72" si="10">SUM(C73:C74)</f>
        <v>115011779.82000001</v>
      </c>
      <c r="D72" s="9">
        <f t="shared" si="10"/>
        <v>0</v>
      </c>
      <c r="E72" s="9">
        <f t="shared" si="10"/>
        <v>115011779.82000001</v>
      </c>
      <c r="F72" s="9">
        <f t="shared" si="10"/>
        <v>67136364.599999994</v>
      </c>
      <c r="G72" s="15">
        <f t="shared" si="10"/>
        <v>67136364.599999994</v>
      </c>
      <c r="H72" s="9">
        <f t="shared" si="10"/>
        <v>47875415.220000014</v>
      </c>
    </row>
    <row r="73" spans="1:13" ht="15" customHeight="1" x14ac:dyDescent="0.2">
      <c r="A73" s="28"/>
      <c r="B73" s="17" t="s">
        <v>75</v>
      </c>
      <c r="C73" s="18">
        <f>79932320.12-C145</f>
        <v>79932320.120000005</v>
      </c>
      <c r="D73" s="18">
        <f t="shared" si="2"/>
        <v>0</v>
      </c>
      <c r="E73" s="19">
        <f>79932320.12-E145</f>
        <v>79932320.120000005</v>
      </c>
      <c r="F73" s="19">
        <v>30097674.989999998</v>
      </c>
      <c r="G73" s="20">
        <v>30097674.989999998</v>
      </c>
      <c r="H73" s="18">
        <f>E73-F73</f>
        <v>49834645.13000001</v>
      </c>
    </row>
    <row r="74" spans="1:13" ht="15" customHeight="1" x14ac:dyDescent="0.2">
      <c r="A74" s="28"/>
      <c r="B74" s="17" t="s">
        <v>76</v>
      </c>
      <c r="C74" s="18">
        <f>35079459.7-C146</f>
        <v>35079459.700000003</v>
      </c>
      <c r="D74" s="18">
        <f t="shared" si="2"/>
        <v>0</v>
      </c>
      <c r="E74" s="19">
        <f>35079459.7-E146</f>
        <v>35079459.700000003</v>
      </c>
      <c r="F74" s="19">
        <v>37038689.609999999</v>
      </c>
      <c r="G74" s="20">
        <v>37038689.609999999</v>
      </c>
      <c r="H74" s="18">
        <f>E74-F74</f>
        <v>-1959229.9099999964</v>
      </c>
    </row>
    <row r="75" spans="1:13" ht="15" customHeight="1" x14ac:dyDescent="0.2">
      <c r="A75" s="28"/>
      <c r="B75" s="17" t="s">
        <v>77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13" ht="15" customHeight="1" x14ac:dyDescent="0.2">
      <c r="A76" s="28"/>
      <c r="B76" s="17" t="s">
        <v>78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</row>
    <row r="77" spans="1:13" ht="15" customHeight="1" x14ac:dyDescent="0.2">
      <c r="A77" s="28"/>
      <c r="B77" s="17" t="s">
        <v>79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</row>
    <row r="78" spans="1:13" ht="15" customHeight="1" x14ac:dyDescent="0.2">
      <c r="A78" s="28"/>
      <c r="B78" s="17" t="s">
        <v>80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1:13" ht="15" customHeight="1" x14ac:dyDescent="0.2">
      <c r="A79" s="28"/>
      <c r="B79" s="17" t="s">
        <v>81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13" ht="15" customHeight="1" x14ac:dyDescent="0.2">
      <c r="A80" s="21" t="s">
        <v>82</v>
      </c>
      <c r="B80" s="17"/>
      <c r="C80" s="9">
        <f t="shared" ref="C80:H80" si="11">C81+C89+C99+C128+C109+C119</f>
        <v>502781415</v>
      </c>
      <c r="D80" s="9">
        <f t="shared" si="11"/>
        <v>95134551.939999983</v>
      </c>
      <c r="E80" s="9">
        <f t="shared" si="11"/>
        <v>597915966.93999982</v>
      </c>
      <c r="F80" s="9">
        <f t="shared" si="11"/>
        <v>594345481.01999998</v>
      </c>
      <c r="G80" s="15">
        <f t="shared" si="11"/>
        <v>594345481.01999998</v>
      </c>
      <c r="H80" s="9">
        <f t="shared" si="11"/>
        <v>3570485.9200000069</v>
      </c>
    </row>
    <row r="81" spans="1:13" ht="15" customHeight="1" x14ac:dyDescent="0.2">
      <c r="A81" s="13" t="s">
        <v>13</v>
      </c>
      <c r="B81" s="14"/>
      <c r="C81" s="9">
        <f t="shared" ref="C81:H81" si="12">SUM(C82:C86)</f>
        <v>224885291.5</v>
      </c>
      <c r="D81" s="9">
        <f t="shared" si="12"/>
        <v>-211372.22999999486</v>
      </c>
      <c r="E81" s="9">
        <f t="shared" si="12"/>
        <v>224673919.26999998</v>
      </c>
      <c r="F81" s="9">
        <f t="shared" si="12"/>
        <v>226136510.10000002</v>
      </c>
      <c r="G81" s="15">
        <f t="shared" si="12"/>
        <v>226136510.10000002</v>
      </c>
      <c r="H81" s="9">
        <f t="shared" si="12"/>
        <v>-1462590.8299999982</v>
      </c>
    </row>
    <row r="82" spans="1:13" ht="15" customHeight="1" x14ac:dyDescent="0.2">
      <c r="A82" s="16"/>
      <c r="B82" s="17" t="s">
        <v>14</v>
      </c>
      <c r="C82" s="29">
        <v>111488825.8</v>
      </c>
      <c r="D82" s="18">
        <f t="shared" si="2"/>
        <v>-945436.37999999523</v>
      </c>
      <c r="E82" s="29">
        <v>110543389.42</v>
      </c>
      <c r="F82" s="19">
        <v>111358424.03</v>
      </c>
      <c r="G82" s="20">
        <v>111358424.03</v>
      </c>
      <c r="H82" s="18">
        <f t="shared" ref="H82:H113" si="13">E82-F82</f>
        <v>-815034.6099999994</v>
      </c>
    </row>
    <row r="83" spans="1:13" ht="15" customHeight="1" x14ac:dyDescent="0.2">
      <c r="A83" s="16"/>
      <c r="B83" s="17" t="s">
        <v>15</v>
      </c>
      <c r="C83" s="29">
        <v>5200599.76</v>
      </c>
      <c r="D83" s="18">
        <f t="shared" si="2"/>
        <v>195743.24000000022</v>
      </c>
      <c r="E83" s="29">
        <v>5396343</v>
      </c>
      <c r="F83" s="19">
        <v>5396343</v>
      </c>
      <c r="G83" s="20">
        <v>5396343</v>
      </c>
      <c r="H83" s="18">
        <f t="shared" si="13"/>
        <v>0</v>
      </c>
    </row>
    <row r="84" spans="1:13" x14ac:dyDescent="0.2">
      <c r="A84" s="16"/>
      <c r="B84" s="17" t="s">
        <v>16</v>
      </c>
      <c r="C84" s="18">
        <v>39291498.730000004</v>
      </c>
      <c r="D84" s="18">
        <f t="shared" si="2"/>
        <v>1990189.9499999955</v>
      </c>
      <c r="E84" s="18">
        <v>41281688.68</v>
      </c>
      <c r="F84" s="19">
        <v>41929244.899999999</v>
      </c>
      <c r="G84" s="20">
        <v>41929244.899999999</v>
      </c>
      <c r="H84" s="18">
        <f t="shared" si="13"/>
        <v>-647556.21999999881</v>
      </c>
    </row>
    <row r="85" spans="1:13" x14ac:dyDescent="0.2">
      <c r="A85" s="16"/>
      <c r="B85" s="17" t="s">
        <v>17</v>
      </c>
      <c r="C85" s="18">
        <v>24971127.91</v>
      </c>
      <c r="D85" s="18">
        <f t="shared" si="2"/>
        <v>-2165288.66</v>
      </c>
      <c r="E85" s="18">
        <v>22805839.25</v>
      </c>
      <c r="F85" s="19">
        <v>22805839.25</v>
      </c>
      <c r="G85" s="20">
        <v>22805839.25</v>
      </c>
      <c r="H85" s="18">
        <f t="shared" si="13"/>
        <v>0</v>
      </c>
    </row>
    <row r="86" spans="1:13" customFormat="1" ht="15" x14ac:dyDescent="0.25">
      <c r="A86" s="16"/>
      <c r="B86" s="17" t="s">
        <v>18</v>
      </c>
      <c r="C86" s="18">
        <v>43933239.299999997</v>
      </c>
      <c r="D86" s="18">
        <f t="shared" si="2"/>
        <v>713419.62000000477</v>
      </c>
      <c r="E86" s="18">
        <v>44646658.920000002</v>
      </c>
      <c r="F86" s="19">
        <v>44646658.920000002</v>
      </c>
      <c r="G86" s="20">
        <v>44646658.920000002</v>
      </c>
      <c r="H86" s="18">
        <f t="shared" si="13"/>
        <v>0</v>
      </c>
      <c r="I86" s="1"/>
      <c r="J86" s="1"/>
      <c r="K86" s="1"/>
      <c r="L86" s="1"/>
      <c r="M86" s="1"/>
    </row>
    <row r="87" spans="1:13" customFormat="1" ht="15" x14ac:dyDescent="0.25">
      <c r="A87" s="16"/>
      <c r="B87" s="17" t="s">
        <v>19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"/>
      <c r="J87" s="1"/>
      <c r="K87" s="1"/>
      <c r="L87" s="1"/>
      <c r="M87" s="1"/>
    </row>
    <row r="88" spans="1:13" customFormat="1" ht="15" x14ac:dyDescent="0.25">
      <c r="A88" s="16"/>
      <c r="B88" s="17" t="s">
        <v>20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"/>
      <c r="J88" s="1"/>
      <c r="K88" s="1"/>
      <c r="L88" s="1"/>
      <c r="M88" s="1"/>
    </row>
    <row r="89" spans="1:13" customFormat="1" ht="15" x14ac:dyDescent="0.25">
      <c r="A89" s="21" t="s">
        <v>21</v>
      </c>
      <c r="B89" s="17"/>
      <c r="C89" s="9">
        <f t="shared" ref="C89:H89" si="14">SUM(C90:C98)</f>
        <v>33399575.809999999</v>
      </c>
      <c r="D89" s="9">
        <f t="shared" si="14"/>
        <v>-3435212.16</v>
      </c>
      <c r="E89" s="9">
        <f t="shared" si="14"/>
        <v>29964363.649999999</v>
      </c>
      <c r="F89" s="9">
        <f t="shared" si="14"/>
        <v>34633944.880000003</v>
      </c>
      <c r="G89" s="15">
        <f t="shared" si="14"/>
        <v>34633944.880000003</v>
      </c>
      <c r="H89" s="9">
        <f t="shared" si="14"/>
        <v>-4669581.2300000004</v>
      </c>
      <c r="I89" s="1"/>
      <c r="J89" s="1"/>
      <c r="K89" s="1"/>
      <c r="L89" s="1"/>
      <c r="M89" s="1"/>
    </row>
    <row r="90" spans="1:13" customFormat="1" ht="15" x14ac:dyDescent="0.25">
      <c r="A90" s="16"/>
      <c r="B90" s="17" t="s">
        <v>22</v>
      </c>
      <c r="C90" s="18">
        <v>98445.42</v>
      </c>
      <c r="D90" s="18">
        <f t="shared" si="2"/>
        <v>64068.61</v>
      </c>
      <c r="E90" s="18">
        <v>162514.03</v>
      </c>
      <c r="F90" s="30">
        <f>59504.17+19050</f>
        <v>78554.17</v>
      </c>
      <c r="G90" s="22">
        <f>59504.17+19050</f>
        <v>78554.17</v>
      </c>
      <c r="H90" s="18">
        <f t="shared" si="13"/>
        <v>83959.86</v>
      </c>
      <c r="I90" s="1"/>
      <c r="J90" s="1"/>
      <c r="K90" s="1"/>
      <c r="L90" s="1"/>
      <c r="M90" s="1"/>
    </row>
    <row r="91" spans="1:13" customFormat="1" ht="15" x14ac:dyDescent="0.25">
      <c r="A91" s="16"/>
      <c r="B91" s="17" t="s">
        <v>23</v>
      </c>
      <c r="C91" s="18">
        <v>0</v>
      </c>
      <c r="D91" s="18">
        <f t="shared" si="2"/>
        <v>43561.59</v>
      </c>
      <c r="E91" s="18">
        <v>43561.59</v>
      </c>
      <c r="F91" s="30">
        <v>36957</v>
      </c>
      <c r="G91" s="22">
        <v>36957</v>
      </c>
      <c r="H91" s="18">
        <f t="shared" si="13"/>
        <v>6604.5899999999965</v>
      </c>
      <c r="I91" s="1"/>
      <c r="J91" s="1"/>
      <c r="K91" s="1"/>
      <c r="L91" s="1"/>
      <c r="M91" s="1"/>
    </row>
    <row r="92" spans="1:13" customFormat="1" ht="15" x14ac:dyDescent="0.25">
      <c r="A92" s="16"/>
      <c r="B92" s="17" t="s">
        <v>24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"/>
      <c r="J92" s="1"/>
      <c r="K92" s="1"/>
      <c r="L92" s="1"/>
      <c r="M92" s="1"/>
    </row>
    <row r="93" spans="1:13" customFormat="1" ht="15" x14ac:dyDescent="0.25">
      <c r="A93" s="16"/>
      <c r="B93" s="17" t="s">
        <v>25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"/>
      <c r="J93" s="1"/>
      <c r="K93" s="1"/>
      <c r="L93" s="1"/>
      <c r="M93" s="1"/>
    </row>
    <row r="94" spans="1:13" customFormat="1" ht="15" x14ac:dyDescent="0.25">
      <c r="A94" s="16"/>
      <c r="B94" s="17" t="s">
        <v>26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"/>
      <c r="J94" s="1"/>
      <c r="K94" s="1"/>
      <c r="L94" s="1"/>
      <c r="M94" s="1"/>
    </row>
    <row r="95" spans="1:13" ht="15" x14ac:dyDescent="0.2">
      <c r="A95" s="16"/>
      <c r="B95" s="17" t="s">
        <v>27</v>
      </c>
      <c r="C95" s="18">
        <v>24731041.579999998</v>
      </c>
      <c r="D95" s="18">
        <f t="shared" si="2"/>
        <v>-813111.6799999997</v>
      </c>
      <c r="E95" s="18">
        <v>23917929.899999999</v>
      </c>
      <c r="F95" s="30">
        <v>22989839.489999998</v>
      </c>
      <c r="G95" s="22">
        <v>22989839.489999998</v>
      </c>
      <c r="H95" s="18">
        <f t="shared" si="13"/>
        <v>928090.41000000015</v>
      </c>
    </row>
    <row r="96" spans="1:13" ht="15" x14ac:dyDescent="0.2">
      <c r="A96" s="16"/>
      <c r="B96" s="17" t="s">
        <v>28</v>
      </c>
      <c r="C96" s="18">
        <v>5743000</v>
      </c>
      <c r="D96" s="18">
        <f t="shared" si="2"/>
        <v>0</v>
      </c>
      <c r="E96" s="18">
        <v>5743000</v>
      </c>
      <c r="F96" s="30">
        <v>5742733.1200000001</v>
      </c>
      <c r="G96" s="22">
        <v>5742733.1200000001</v>
      </c>
      <c r="H96" s="18">
        <f t="shared" si="13"/>
        <v>266.87999999988824</v>
      </c>
    </row>
    <row r="97" spans="1:8" x14ac:dyDescent="0.2">
      <c r="A97" s="16"/>
      <c r="B97" s="17" t="s">
        <v>29</v>
      </c>
      <c r="C97" s="18">
        <v>469059.4</v>
      </c>
      <c r="D97" s="18">
        <f t="shared" si="2"/>
        <v>-3338112.4</v>
      </c>
      <c r="E97" s="18">
        <v>-2869053</v>
      </c>
      <c r="F97" s="31">
        <v>2869053</v>
      </c>
      <c r="G97" s="32">
        <v>2869053</v>
      </c>
      <c r="H97" s="18">
        <f t="shared" si="13"/>
        <v>-5738106</v>
      </c>
    </row>
    <row r="98" spans="1:8" ht="15" x14ac:dyDescent="0.2">
      <c r="A98" s="16"/>
      <c r="B98" s="17" t="s">
        <v>30</v>
      </c>
      <c r="C98" s="18">
        <v>2358029.41</v>
      </c>
      <c r="D98" s="18">
        <f t="shared" si="2"/>
        <v>608381.71999999974</v>
      </c>
      <c r="E98" s="18">
        <v>2966411.13</v>
      </c>
      <c r="F98" s="30">
        <v>2916808.1</v>
      </c>
      <c r="G98" s="22">
        <v>2916808.1</v>
      </c>
      <c r="H98" s="18">
        <f t="shared" si="13"/>
        <v>49603.029999999795</v>
      </c>
    </row>
    <row r="99" spans="1:8" x14ac:dyDescent="0.2">
      <c r="A99" s="21" t="s">
        <v>31</v>
      </c>
      <c r="B99" s="25"/>
      <c r="C99" s="9">
        <f t="shared" ref="C99:H99" si="15">SUM(C100:C108)</f>
        <v>164542335.69</v>
      </c>
      <c r="D99" s="9">
        <f t="shared" si="15"/>
        <v>5748895.2899999944</v>
      </c>
      <c r="E99" s="9">
        <f t="shared" si="15"/>
        <v>170291230.98000002</v>
      </c>
      <c r="F99" s="9">
        <f t="shared" si="15"/>
        <v>168634481.48000002</v>
      </c>
      <c r="G99" s="15">
        <f t="shared" si="15"/>
        <v>168634481.48000002</v>
      </c>
      <c r="H99" s="9">
        <f t="shared" si="15"/>
        <v>1656749.4999999993</v>
      </c>
    </row>
    <row r="100" spans="1:8" x14ac:dyDescent="0.2">
      <c r="A100" s="16"/>
      <c r="B100" s="17" t="s">
        <v>32</v>
      </c>
      <c r="C100" s="18">
        <v>0</v>
      </c>
      <c r="D100" s="18">
        <f t="shared" si="2"/>
        <v>750</v>
      </c>
      <c r="E100" s="18">
        <v>750</v>
      </c>
      <c r="F100" s="18">
        <v>0</v>
      </c>
      <c r="G100" s="18">
        <v>0</v>
      </c>
      <c r="H100" s="18">
        <f t="shared" si="13"/>
        <v>750</v>
      </c>
    </row>
    <row r="101" spans="1:8" x14ac:dyDescent="0.2">
      <c r="A101" s="16"/>
      <c r="B101" s="17" t="s">
        <v>33</v>
      </c>
      <c r="C101" s="18">
        <v>69500000</v>
      </c>
      <c r="D101" s="18">
        <f t="shared" si="2"/>
        <v>-40871075.399999999</v>
      </c>
      <c r="E101" s="18">
        <v>28628924.600000001</v>
      </c>
      <c r="F101" s="31">
        <v>28628854.600000001</v>
      </c>
      <c r="G101" s="32">
        <v>28628854.600000001</v>
      </c>
      <c r="H101" s="18">
        <f t="shared" si="13"/>
        <v>70</v>
      </c>
    </row>
    <row r="102" spans="1:8" x14ac:dyDescent="0.2">
      <c r="A102" s="16"/>
      <c r="B102" s="17" t="s">
        <v>34</v>
      </c>
      <c r="C102" s="18">
        <f>9944480+8026176.6</f>
        <v>17970656.600000001</v>
      </c>
      <c r="D102" s="18">
        <f t="shared" si="2"/>
        <v>5110364.549999997</v>
      </c>
      <c r="E102" s="18">
        <v>23081021.149999999</v>
      </c>
      <c r="F102" s="31">
        <f>6566589.4+15351541.15</f>
        <v>21918130.550000001</v>
      </c>
      <c r="G102" s="32">
        <f>6566589.4+15351541.15</f>
        <v>21918130.550000001</v>
      </c>
      <c r="H102" s="18">
        <f t="shared" si="13"/>
        <v>1162890.5999999978</v>
      </c>
    </row>
    <row r="103" spans="1:8" ht="15" x14ac:dyDescent="0.2">
      <c r="A103" s="16"/>
      <c r="B103" s="17" t="s">
        <v>35</v>
      </c>
      <c r="C103" s="18">
        <v>6571679.0899999999</v>
      </c>
      <c r="D103" s="18">
        <f t="shared" si="2"/>
        <v>-2390.769999999553</v>
      </c>
      <c r="E103" s="18">
        <v>6569288.3200000003</v>
      </c>
      <c r="F103" s="30">
        <v>6566630</v>
      </c>
      <c r="G103" s="22">
        <v>6566630</v>
      </c>
      <c r="H103" s="18">
        <f t="shared" si="13"/>
        <v>2658.320000000298</v>
      </c>
    </row>
    <row r="104" spans="1:8" x14ac:dyDescent="0.2">
      <c r="A104" s="16"/>
      <c r="B104" s="17" t="s">
        <v>36</v>
      </c>
      <c r="C104" s="18">
        <v>70500000</v>
      </c>
      <c r="D104" s="18">
        <f t="shared" si="2"/>
        <v>41442182.859999999</v>
      </c>
      <c r="E104" s="18">
        <v>111942182.86</v>
      </c>
      <c r="F104" s="31">
        <v>111453002.33</v>
      </c>
      <c r="G104" s="32">
        <v>111453002.33</v>
      </c>
      <c r="H104" s="18">
        <f t="shared" si="13"/>
        <v>489180.53000000119</v>
      </c>
    </row>
    <row r="105" spans="1:8" ht="15" x14ac:dyDescent="0.2">
      <c r="A105" s="16"/>
      <c r="B105" s="17" t="s">
        <v>37</v>
      </c>
      <c r="C105" s="18">
        <v>0</v>
      </c>
      <c r="D105" s="18">
        <f t="shared" si="2"/>
        <v>67864</v>
      </c>
      <c r="E105" s="18">
        <v>67864</v>
      </c>
      <c r="F105" s="30">
        <v>67864</v>
      </c>
      <c r="G105" s="22">
        <v>67864</v>
      </c>
      <c r="H105" s="18">
        <f t="shared" si="13"/>
        <v>0</v>
      </c>
    </row>
    <row r="106" spans="1:8" x14ac:dyDescent="0.2">
      <c r="A106" s="16"/>
      <c r="B106" s="17" t="s">
        <v>38</v>
      </c>
      <c r="C106" s="18">
        <v>0</v>
      </c>
      <c r="D106" s="18">
        <f t="shared" si="2"/>
        <v>1200</v>
      </c>
      <c r="E106" s="18">
        <v>1200</v>
      </c>
      <c r="F106" s="19">
        <v>0</v>
      </c>
      <c r="G106" s="20">
        <v>0</v>
      </c>
      <c r="H106" s="18">
        <f t="shared" si="13"/>
        <v>1200</v>
      </c>
    </row>
    <row r="107" spans="1:8" x14ac:dyDescent="0.2">
      <c r="A107" s="16"/>
      <c r="B107" s="17" t="s">
        <v>39</v>
      </c>
      <c r="C107" s="18">
        <v>0</v>
      </c>
      <c r="D107" s="18">
        <f>E107-C107</f>
        <v>0</v>
      </c>
      <c r="E107" s="18"/>
      <c r="F107" s="19">
        <v>0</v>
      </c>
      <c r="G107" s="20">
        <v>0</v>
      </c>
      <c r="H107" s="18">
        <f t="shared" si="13"/>
        <v>0</v>
      </c>
    </row>
    <row r="108" spans="1:8" x14ac:dyDescent="0.2">
      <c r="A108" s="16"/>
      <c r="B108" s="17" t="s">
        <v>40</v>
      </c>
      <c r="C108" s="18">
        <v>0</v>
      </c>
      <c r="D108" s="18">
        <f>E108-C108</f>
        <v>0.05</v>
      </c>
      <c r="E108" s="18">
        <v>0.05</v>
      </c>
      <c r="F108" s="19">
        <v>0</v>
      </c>
      <c r="G108" s="20">
        <v>0</v>
      </c>
      <c r="H108" s="18">
        <f t="shared" si="13"/>
        <v>0.05</v>
      </c>
    </row>
    <row r="109" spans="1:8" x14ac:dyDescent="0.2">
      <c r="A109" s="21" t="s">
        <v>41</v>
      </c>
      <c r="B109" s="25"/>
      <c r="C109" s="9">
        <f t="shared" ref="C109:H109" si="16">SUM(C110:C114)</f>
        <v>0</v>
      </c>
      <c r="D109" s="9">
        <f t="shared" si="16"/>
        <v>8598072.8000000007</v>
      </c>
      <c r="E109" s="9">
        <f t="shared" si="16"/>
        <v>8598072.8000000007</v>
      </c>
      <c r="F109" s="9">
        <f t="shared" si="16"/>
        <v>0</v>
      </c>
      <c r="G109" s="15">
        <f t="shared" si="16"/>
        <v>0</v>
      </c>
      <c r="H109" s="9">
        <f t="shared" si="16"/>
        <v>8598072.8000000007</v>
      </c>
    </row>
    <row r="110" spans="1:8" x14ac:dyDescent="0.2">
      <c r="A110" s="16"/>
      <c r="B110" s="17" t="s">
        <v>42</v>
      </c>
      <c r="C110" s="18">
        <v>0</v>
      </c>
      <c r="D110" s="18">
        <f>E110-C110</f>
        <v>0</v>
      </c>
      <c r="E110" s="18">
        <v>0</v>
      </c>
      <c r="F110" s="19">
        <v>0</v>
      </c>
      <c r="G110" s="19">
        <v>0</v>
      </c>
      <c r="H110" s="18">
        <f t="shared" si="13"/>
        <v>0</v>
      </c>
    </row>
    <row r="111" spans="1:8" x14ac:dyDescent="0.2">
      <c r="A111" s="16"/>
      <c r="B111" s="17" t="s">
        <v>43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</row>
    <row r="112" spans="1:8" x14ac:dyDescent="0.2">
      <c r="A112" s="16"/>
      <c r="B112" s="17" t="s">
        <v>44</v>
      </c>
      <c r="C112" s="18">
        <v>0</v>
      </c>
      <c r="D112" s="18">
        <f>E112-C112</f>
        <v>7400000</v>
      </c>
      <c r="E112" s="18">
        <v>7400000</v>
      </c>
      <c r="F112" s="19">
        <v>0</v>
      </c>
      <c r="G112" s="20">
        <v>0</v>
      </c>
      <c r="H112" s="18">
        <f t="shared" si="13"/>
        <v>7400000</v>
      </c>
    </row>
    <row r="113" spans="1:8" x14ac:dyDescent="0.2">
      <c r="A113" s="16"/>
      <c r="B113" s="17" t="s">
        <v>45</v>
      </c>
      <c r="C113" s="18">
        <v>0</v>
      </c>
      <c r="D113" s="18">
        <f>E113-C113</f>
        <v>1198072.8</v>
      </c>
      <c r="E113" s="18">
        <v>1198072.8</v>
      </c>
      <c r="F113" s="19">
        <v>0</v>
      </c>
      <c r="G113" s="20">
        <v>0</v>
      </c>
      <c r="H113" s="18">
        <f t="shared" si="13"/>
        <v>1198072.8</v>
      </c>
    </row>
    <row r="114" spans="1:8" x14ac:dyDescent="0.2">
      <c r="A114" s="16"/>
      <c r="B114" s="17" t="s">
        <v>46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</row>
    <row r="115" spans="1:8" x14ac:dyDescent="0.2">
      <c r="A115" s="16"/>
      <c r="B115" s="17" t="s">
        <v>47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</row>
    <row r="116" spans="1:8" x14ac:dyDescent="0.2">
      <c r="A116" s="16"/>
      <c r="B116" s="17" t="s">
        <v>48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</row>
    <row r="117" spans="1:8" x14ac:dyDescent="0.2">
      <c r="A117" s="16"/>
      <c r="B117" s="17" t="s">
        <v>49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</row>
    <row r="118" spans="1:8" x14ac:dyDescent="0.2">
      <c r="A118" s="16"/>
      <c r="B118" s="17" t="s">
        <v>50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2">
      <c r="A119" s="21" t="s">
        <v>51</v>
      </c>
      <c r="B119" s="25"/>
      <c r="C119" s="9">
        <f t="shared" ref="C119:H119" si="17">SUM(C127)</f>
        <v>0</v>
      </c>
      <c r="D119" s="9">
        <f t="shared" si="17"/>
        <v>2757772.28</v>
      </c>
      <c r="E119" s="9">
        <f t="shared" si="17"/>
        <v>2757772.28</v>
      </c>
      <c r="F119" s="9">
        <f t="shared" si="17"/>
        <v>2730363</v>
      </c>
      <c r="G119" s="15">
        <f t="shared" si="17"/>
        <v>2730363</v>
      </c>
      <c r="H119" s="9">
        <f t="shared" si="17"/>
        <v>27409.279999999795</v>
      </c>
    </row>
    <row r="120" spans="1:8" x14ac:dyDescent="0.2">
      <c r="A120" s="21"/>
      <c r="B120" s="17" t="s">
        <v>52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</row>
    <row r="121" spans="1:8" x14ac:dyDescent="0.2">
      <c r="A121" s="21"/>
      <c r="B121" s="17" t="s">
        <v>53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</row>
    <row r="122" spans="1:8" x14ac:dyDescent="0.2">
      <c r="A122" s="21"/>
      <c r="B122" s="17" t="s">
        <v>54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</row>
    <row r="123" spans="1:8" x14ac:dyDescent="0.2">
      <c r="A123" s="21"/>
      <c r="B123" s="17" t="s">
        <v>55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</row>
    <row r="124" spans="1:8" x14ac:dyDescent="0.2">
      <c r="A124" s="21"/>
      <c r="B124" s="17" t="s">
        <v>56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</row>
    <row r="125" spans="1:8" x14ac:dyDescent="0.2">
      <c r="A125" s="21"/>
      <c r="B125" s="17" t="s">
        <v>57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</row>
    <row r="126" spans="1:8" x14ac:dyDescent="0.2">
      <c r="A126" s="21"/>
      <c r="B126" s="17" t="s">
        <v>83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</row>
    <row r="127" spans="1:8" ht="15" x14ac:dyDescent="0.2">
      <c r="A127" s="16"/>
      <c r="B127" s="17" t="s">
        <v>51</v>
      </c>
      <c r="C127" s="18">
        <v>0</v>
      </c>
      <c r="D127" s="18">
        <v>2757772.28</v>
      </c>
      <c r="E127" s="18">
        <v>2757772.28</v>
      </c>
      <c r="F127" s="30">
        <f>2692363+38000</f>
        <v>2730363</v>
      </c>
      <c r="G127" s="22">
        <f>2692363+38000</f>
        <v>2730363</v>
      </c>
      <c r="H127" s="18">
        <f>E127-F127</f>
        <v>27409.279999999795</v>
      </c>
    </row>
    <row r="128" spans="1:8" x14ac:dyDescent="0.2">
      <c r="A128" s="21" t="s">
        <v>58</v>
      </c>
      <c r="B128" s="17"/>
      <c r="C128" s="9">
        <f t="shared" ref="C128:H128" si="18">SUM(C129:C131)</f>
        <v>79954212</v>
      </c>
      <c r="D128" s="9">
        <f t="shared" si="18"/>
        <v>81676395.959999979</v>
      </c>
      <c r="E128" s="9">
        <f t="shared" si="18"/>
        <v>161630607.95999998</v>
      </c>
      <c r="F128" s="9">
        <f t="shared" si="18"/>
        <v>162210181.55999997</v>
      </c>
      <c r="G128" s="15">
        <f t="shared" si="18"/>
        <v>162210181.55999997</v>
      </c>
      <c r="H128" s="9">
        <f t="shared" si="18"/>
        <v>-579573.59999999404</v>
      </c>
    </row>
    <row r="129" spans="1:8" x14ac:dyDescent="0.2">
      <c r="A129" s="16"/>
      <c r="B129" s="17" t="s">
        <v>59</v>
      </c>
      <c r="C129" s="18">
        <v>79954212</v>
      </c>
      <c r="D129" s="18">
        <f>E129-C129</f>
        <v>81676395.959999979</v>
      </c>
      <c r="E129" s="18">
        <v>161630607.95999998</v>
      </c>
      <c r="F129" s="32">
        <f>80026665.46+831193+42223669.55+2200820.63+1198072.8+35729760.12</f>
        <v>162210181.55999997</v>
      </c>
      <c r="G129" s="32">
        <f>80026665.46+831193+42223669.55+2200820.63+1198072.8+35729760.12</f>
        <v>162210181.55999997</v>
      </c>
      <c r="H129" s="18">
        <f>E129-F129</f>
        <v>-579573.59999999404</v>
      </c>
    </row>
    <row r="130" spans="1:8" x14ac:dyDescent="0.2">
      <c r="A130" s="16"/>
      <c r="B130" s="17" t="s">
        <v>60</v>
      </c>
      <c r="C130" s="18">
        <v>0</v>
      </c>
      <c r="D130" s="18">
        <f>E130-C130</f>
        <v>0</v>
      </c>
      <c r="E130" s="18">
        <v>0</v>
      </c>
      <c r="F130" s="18">
        <v>0</v>
      </c>
      <c r="G130" s="18">
        <v>0</v>
      </c>
      <c r="H130" s="18">
        <v>0</v>
      </c>
    </row>
    <row r="131" spans="1:8" x14ac:dyDescent="0.2">
      <c r="A131" s="16"/>
      <c r="B131" s="17" t="s">
        <v>61</v>
      </c>
      <c r="C131" s="18">
        <v>0</v>
      </c>
      <c r="D131" s="18">
        <f>E131-C131</f>
        <v>0</v>
      </c>
      <c r="E131" s="18">
        <v>0</v>
      </c>
      <c r="F131" s="18">
        <v>0</v>
      </c>
      <c r="G131" s="18">
        <v>0</v>
      </c>
      <c r="H131" s="18">
        <v>0</v>
      </c>
    </row>
    <row r="132" spans="1:8" x14ac:dyDescent="0.2">
      <c r="A132" s="21" t="s">
        <v>62</v>
      </c>
      <c r="B132" s="17"/>
      <c r="C132" s="18">
        <v>0</v>
      </c>
      <c r="D132" s="18">
        <f>E132-C132</f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2">
      <c r="A133" s="21"/>
      <c r="B133" s="17" t="s">
        <v>63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</row>
    <row r="134" spans="1:8" x14ac:dyDescent="0.2">
      <c r="A134" s="21"/>
      <c r="B134" s="17" t="s">
        <v>64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</row>
    <row r="135" spans="1:8" x14ac:dyDescent="0.2">
      <c r="A135" s="21"/>
      <c r="B135" s="17" t="s">
        <v>65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</row>
    <row r="136" spans="1:8" x14ac:dyDescent="0.2">
      <c r="A136" s="21"/>
      <c r="B136" s="17" t="s">
        <v>66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</row>
    <row r="137" spans="1:8" x14ac:dyDescent="0.2">
      <c r="A137" s="21"/>
      <c r="B137" s="17" t="s">
        <v>67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</row>
    <row r="138" spans="1:8" x14ac:dyDescent="0.2">
      <c r="A138" s="21"/>
      <c r="B138" s="17" t="s">
        <v>68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</row>
    <row r="139" spans="1:8" x14ac:dyDescent="0.2">
      <c r="A139" s="21"/>
      <c r="B139" s="17" t="s">
        <v>69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</row>
    <row r="140" spans="1:8" x14ac:dyDescent="0.2">
      <c r="A140" s="21" t="s">
        <v>70</v>
      </c>
      <c r="B140" s="17"/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</row>
    <row r="141" spans="1:8" x14ac:dyDescent="0.2">
      <c r="A141" s="21"/>
      <c r="B141" s="17" t="s">
        <v>71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2">
      <c r="A142" s="21"/>
      <c r="B142" s="17" t="s">
        <v>72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</row>
    <row r="143" spans="1:8" x14ac:dyDescent="0.2">
      <c r="A143" s="21"/>
      <c r="B143" s="17" t="s">
        <v>73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</row>
    <row r="144" spans="1:8" x14ac:dyDescent="0.2">
      <c r="A144" s="21" t="s">
        <v>74</v>
      </c>
      <c r="B144" s="17"/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</row>
    <row r="145" spans="1:8" x14ac:dyDescent="0.2">
      <c r="A145" s="28"/>
      <c r="B145" s="17" t="s">
        <v>75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2">
      <c r="A146" s="28"/>
      <c r="B146" s="17" t="s">
        <v>76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</row>
    <row r="147" spans="1:8" x14ac:dyDescent="0.2">
      <c r="A147" s="28"/>
      <c r="B147" s="17" t="s">
        <v>77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</row>
    <row r="148" spans="1:8" x14ac:dyDescent="0.2">
      <c r="A148" s="28"/>
      <c r="B148" s="17" t="s">
        <v>78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</row>
    <row r="149" spans="1:8" x14ac:dyDescent="0.2">
      <c r="A149" s="28"/>
      <c r="B149" s="17" t="s">
        <v>79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</row>
    <row r="150" spans="1:8" x14ac:dyDescent="0.2">
      <c r="A150" s="28"/>
      <c r="B150" s="17" t="s">
        <v>80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</row>
    <row r="151" spans="1:8" x14ac:dyDescent="0.2">
      <c r="A151" s="28"/>
      <c r="B151" s="17" t="s">
        <v>81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</row>
    <row r="152" spans="1:8" x14ac:dyDescent="0.2">
      <c r="A152" s="28"/>
      <c r="B152" s="17"/>
      <c r="C152" s="18"/>
      <c r="D152" s="18"/>
      <c r="E152" s="18"/>
      <c r="F152" s="33"/>
      <c r="G152" s="20"/>
      <c r="H152" s="18"/>
    </row>
    <row r="153" spans="1:8" x14ac:dyDescent="0.2">
      <c r="A153" s="34" t="s">
        <v>84</v>
      </c>
      <c r="B153" s="35"/>
      <c r="C153" s="36">
        <f t="shared" ref="C153:H153" si="19">C9+C80</f>
        <v>2076956000</v>
      </c>
      <c r="D153" s="36">
        <f t="shared" si="19"/>
        <v>199420019.65000001</v>
      </c>
      <c r="E153" s="36">
        <f t="shared" si="19"/>
        <v>2276376019.6499996</v>
      </c>
      <c r="F153" s="36">
        <f t="shared" si="19"/>
        <v>2444792390.1499996</v>
      </c>
      <c r="G153" s="36">
        <f t="shared" si="19"/>
        <v>2330150494.2399998</v>
      </c>
      <c r="H153" s="36">
        <f t="shared" si="19"/>
        <v>-168416370.5</v>
      </c>
    </row>
    <row r="154" spans="1:8" x14ac:dyDescent="0.2">
      <c r="F154" s="38"/>
      <c r="G154" s="38"/>
      <c r="H154" s="39"/>
    </row>
    <row r="155" spans="1:8" x14ac:dyDescent="0.2">
      <c r="C155" s="40"/>
      <c r="D155" s="40"/>
      <c r="E155" s="40"/>
      <c r="F155" s="38"/>
      <c r="G155" s="38"/>
      <c r="H155" s="39"/>
    </row>
    <row r="156" spans="1:8" hidden="1" x14ac:dyDescent="0.2">
      <c r="F156" s="38"/>
      <c r="G156" s="38"/>
      <c r="H156" s="39"/>
    </row>
    <row r="157" spans="1:8" hidden="1" x14ac:dyDescent="0.2"/>
    <row r="158" spans="1:8" hidden="1" x14ac:dyDescent="0.2"/>
    <row r="159" spans="1:8" hidden="1" x14ac:dyDescent="0.2"/>
    <row r="160" spans="1:8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97" spans="5:9" ht="15" x14ac:dyDescent="0.25">
      <c r="E197"/>
      <c r="F197"/>
      <c r="G197"/>
      <c r="H197"/>
      <c r="I197"/>
    </row>
    <row r="198" spans="5:9" ht="15" x14ac:dyDescent="0.25">
      <c r="E198"/>
      <c r="F198"/>
      <c r="G198"/>
      <c r="H198"/>
      <c r="I198"/>
    </row>
    <row r="199" spans="5:9" ht="15" x14ac:dyDescent="0.25">
      <c r="E199"/>
      <c r="F199"/>
      <c r="G199"/>
      <c r="H199"/>
      <c r="I199"/>
    </row>
    <row r="200" spans="5:9" ht="15" x14ac:dyDescent="0.25">
      <c r="E200"/>
      <c r="F200"/>
      <c r="G200"/>
      <c r="H200"/>
      <c r="I200"/>
    </row>
    <row r="201" spans="5:9" ht="15" x14ac:dyDescent="0.25">
      <c r="E201"/>
      <c r="F201"/>
      <c r="G201"/>
      <c r="H201"/>
      <c r="I201"/>
    </row>
  </sheetData>
  <mergeCells count="10">
    <mergeCell ref="B2:H2"/>
    <mergeCell ref="B3:H3"/>
    <mergeCell ref="B4:H4"/>
    <mergeCell ref="B5:H5"/>
    <mergeCell ref="A7:B8"/>
    <mergeCell ref="C7:C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&amp;C&amp;F&amp;R&amp;Pde&amp;N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Etiq y no etiq Diciembre</vt:lpstr>
      <vt:lpstr>'Etiq y no etiq Diciembre'!Área_de_impresión</vt:lpstr>
      <vt:lpstr>'Etiq y no etiq Diciembre'!Títulos_a_imprimir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2019-08-29T17:59:24Z</cp:lastPrinted>
  <dcterms:created xsi:type="dcterms:W3CDTF">2019-07-15T20:21:04Z</dcterms:created>
  <dcterms:modified xsi:type="dcterms:W3CDTF">2019-08-29T17:59:27Z</dcterms:modified>
</cp:coreProperties>
</file>